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утевки" sheetId="11" r:id="rId1"/>
  </sheets>
  <definedNames>
    <definedName name="_xlnm.Print_Area" localSheetId="0">путевки!$A$1:$R$41</definedName>
  </definedNames>
  <calcPr calcId="145621"/>
</workbook>
</file>

<file path=xl/calcChain.xml><?xml version="1.0" encoding="utf-8"?>
<calcChain xmlns="http://schemas.openxmlformats.org/spreadsheetml/2006/main">
  <c r="F39" i="11" l="1"/>
  <c r="F30" i="11"/>
  <c r="O22" i="11" l="1"/>
  <c r="N22" i="11" s="1"/>
  <c r="L33" i="11" l="1"/>
  <c r="L38" i="11"/>
  <c r="P38" i="11"/>
  <c r="Q38" i="11" s="1"/>
  <c r="L37" i="11"/>
  <c r="P37" i="11"/>
  <c r="M34" i="11" l="1"/>
  <c r="R34" i="11" s="1"/>
  <c r="K34" i="11"/>
  <c r="H34" i="11"/>
  <c r="L25" i="11"/>
  <c r="M25" i="11"/>
  <c r="K25" i="11"/>
  <c r="L22" i="11"/>
  <c r="I34" i="11" l="1"/>
  <c r="J34" i="11" s="1"/>
  <c r="Q34" i="11" s="1"/>
  <c r="P34" i="11" s="1"/>
  <c r="L32" i="11"/>
  <c r="L35" i="11"/>
  <c r="P32" i="11" l="1"/>
  <c r="Q32" i="11"/>
  <c r="H32" i="11"/>
  <c r="L19" i="11" l="1"/>
  <c r="R38" i="11" l="1"/>
  <c r="K38" i="11"/>
  <c r="O38" i="11" s="1"/>
  <c r="N38" i="11" s="1"/>
  <c r="H38" i="11"/>
  <c r="I38" i="11" s="1"/>
  <c r="J38" i="11" s="1"/>
  <c r="H35" i="11" l="1"/>
  <c r="L16" i="11"/>
  <c r="M16" i="11"/>
  <c r="Q37" i="11" l="1"/>
  <c r="P35" i="11"/>
  <c r="Q35" i="11" s="1"/>
  <c r="K35" i="11"/>
  <c r="O35" i="11" s="1"/>
  <c r="N35" i="11" s="1"/>
  <c r="I35" i="11"/>
  <c r="J35" i="11" s="1"/>
  <c r="R35" i="11"/>
  <c r="K37" i="11"/>
  <c r="O37" i="11" s="1"/>
  <c r="N37" i="11" s="1"/>
  <c r="H37" i="11"/>
  <c r="I37" i="11" s="1"/>
  <c r="J37" i="11" s="1"/>
  <c r="R37" i="11"/>
  <c r="M31" i="11"/>
  <c r="M39" i="11" s="1"/>
  <c r="L31" i="11"/>
  <c r="L39" i="11" s="1"/>
  <c r="L20" i="11"/>
  <c r="M20" i="11"/>
  <c r="M19" i="11"/>
  <c r="R19" i="11" s="1"/>
  <c r="K19" i="11"/>
  <c r="I19" i="11"/>
  <c r="H19" i="11"/>
  <c r="L18" i="11"/>
  <c r="M18" i="11"/>
  <c r="L15" i="11"/>
  <c r="M15" i="11"/>
  <c r="I15" i="11"/>
  <c r="H15" i="11"/>
  <c r="J19" i="11" l="1"/>
  <c r="Q19" i="11"/>
  <c r="P19" i="11" s="1"/>
  <c r="L13" i="11" l="1"/>
  <c r="M13" i="11"/>
  <c r="I13" i="11"/>
  <c r="H13" i="11"/>
  <c r="J13" i="11" s="1"/>
  <c r="H12" i="11"/>
  <c r="M12" i="11"/>
  <c r="L12" i="11"/>
  <c r="I12" i="11"/>
  <c r="K13" i="11"/>
  <c r="K12" i="11"/>
  <c r="J12" i="11" l="1"/>
  <c r="Q12" i="11" s="1"/>
  <c r="P12" i="11" s="1"/>
  <c r="Q13" i="11"/>
  <c r="P13" i="11" s="1"/>
  <c r="R15" i="11"/>
  <c r="N30" i="11"/>
  <c r="O30" i="11"/>
  <c r="O32" i="11" l="1"/>
  <c r="R31" i="11"/>
  <c r="R39" i="11" s="1"/>
  <c r="H25" i="11"/>
  <c r="N32" i="11" l="1"/>
  <c r="L30" i="11"/>
  <c r="O33" i="11"/>
  <c r="H33" i="11"/>
  <c r="P33" i="11"/>
  <c r="I32" i="11"/>
  <c r="K31" i="11"/>
  <c r="P31" i="11"/>
  <c r="Q31" i="11" s="1"/>
  <c r="H31" i="11"/>
  <c r="F41" i="11"/>
  <c r="R25" i="11"/>
  <c r="I25" i="11"/>
  <c r="J25" i="11" s="1"/>
  <c r="Q25" i="11" s="1"/>
  <c r="M24" i="11"/>
  <c r="R24" i="11" s="1"/>
  <c r="K24" i="11"/>
  <c r="I24" i="11"/>
  <c r="H24" i="11"/>
  <c r="I22" i="11"/>
  <c r="H22" i="11"/>
  <c r="O31" i="11" l="1"/>
  <c r="K39" i="11"/>
  <c r="I33" i="11"/>
  <c r="H39" i="11"/>
  <c r="Q33" i="11"/>
  <c r="Q39" i="11" s="1"/>
  <c r="P39" i="11"/>
  <c r="N33" i="11"/>
  <c r="O39" i="11"/>
  <c r="O41" i="11" s="1"/>
  <c r="J22" i="11"/>
  <c r="Q22" i="11" s="1"/>
  <c r="P25" i="11"/>
  <c r="N31" i="11"/>
  <c r="I31" i="11"/>
  <c r="I39" i="11" s="1"/>
  <c r="J24" i="11"/>
  <c r="Q24" i="11" s="1"/>
  <c r="N39" i="11" l="1"/>
  <c r="N41" i="11" s="1"/>
  <c r="P24" i="11"/>
  <c r="J31" i="11"/>
  <c r="J39" i="11" s="1"/>
  <c r="P22" i="11"/>
  <c r="H21" i="11"/>
  <c r="M21" i="11"/>
  <c r="R21" i="11" s="1"/>
  <c r="K21" i="11"/>
  <c r="I21" i="11"/>
  <c r="K20" i="11"/>
  <c r="H20" i="11"/>
  <c r="R20" i="11"/>
  <c r="I20" i="11"/>
  <c r="R18" i="11"/>
  <c r="H18" i="11"/>
  <c r="K18" i="11"/>
  <c r="I18" i="11"/>
  <c r="H17" i="11"/>
  <c r="M17" i="11"/>
  <c r="K17" i="11"/>
  <c r="I17" i="11"/>
  <c r="K16" i="11"/>
  <c r="H16" i="11"/>
  <c r="R16" i="11"/>
  <c r="I16" i="11"/>
  <c r="I30" i="11" s="1"/>
  <c r="K15" i="11"/>
  <c r="J21" i="11" l="1"/>
  <c r="Q21" i="11" s="1"/>
  <c r="K30" i="11"/>
  <c r="K41" i="11" s="1"/>
  <c r="H30" i="11"/>
  <c r="H41" i="11" s="1"/>
  <c r="R17" i="11"/>
  <c r="M30" i="11"/>
  <c r="M41" i="11" s="1"/>
  <c r="J18" i="11"/>
  <c r="Q18" i="11" s="1"/>
  <c r="J15" i="11"/>
  <c r="Q15" i="11" s="1"/>
  <c r="I41" i="11"/>
  <c r="L41" i="11"/>
  <c r="J17" i="11"/>
  <c r="Q17" i="11" s="1"/>
  <c r="J20" i="11"/>
  <c r="Q20" i="11" s="1"/>
  <c r="J16" i="11"/>
  <c r="Q16" i="11" s="1"/>
  <c r="P17" i="11" l="1"/>
  <c r="P18" i="11"/>
  <c r="P21" i="11"/>
  <c r="P16" i="11"/>
  <c r="P20" i="11"/>
  <c r="R30" i="11"/>
  <c r="R41" i="11" s="1"/>
  <c r="J30" i="11"/>
  <c r="J41" i="11" s="1"/>
  <c r="Q30" i="11" l="1"/>
  <c r="Q41" i="11" s="1"/>
  <c r="P15" i="11"/>
  <c r="P30" i="11" l="1"/>
  <c r="P41" i="11" s="1"/>
</calcChain>
</file>

<file path=xl/sharedStrings.xml><?xml version="1.0" encoding="utf-8"?>
<sst xmlns="http://schemas.openxmlformats.org/spreadsheetml/2006/main" count="165" uniqueCount="91">
  <si>
    <t>к Постановлению администрации</t>
  </si>
  <si>
    <t>муниципального района "Княжпогостский"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</si>
  <si>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</si>
  <si>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</si>
  <si>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</si>
  <si>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</si>
  <si>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</si>
  <si>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</si>
  <si>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</si>
  <si>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</si>
  <si>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</si>
  <si>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</si>
  <si>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</si>
  <si>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</si>
  <si>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</si>
  <si>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</si>
  <si>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</si>
  <si>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</si>
  <si>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</si>
  <si>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</si>
  <si>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Санаторий "Черноморская зорька", г.Анапа </t>
  </si>
  <si>
    <t>Санаторий "Колос", Кировская область,Оричевский район,п.Колос</t>
  </si>
  <si>
    <t>Санаторий "Бобровниково", Великий Устюг</t>
  </si>
  <si>
    <t>Приложение №4</t>
  </si>
  <si>
    <t>1</t>
  </si>
  <si>
    <t>другие категории</t>
  </si>
  <si>
    <t>Сроки заезда</t>
  </si>
  <si>
    <t>04.06.2016-24.06.2016</t>
  </si>
  <si>
    <t>21</t>
  </si>
  <si>
    <t>12</t>
  </si>
  <si>
    <t>23.06.2016-13.07.2016</t>
  </si>
  <si>
    <t>24.06.2016-14.07.2016</t>
  </si>
  <si>
    <t>Детский оздоровительный лагерь "Мечта" (смена "Семь футов под килем"), г. Сыктывкар</t>
  </si>
  <si>
    <t>Детский санаторно-оздоровительный лагерь "Мир", г. Таганрог</t>
  </si>
  <si>
    <t>13.07.2016-02.08.2016</t>
  </si>
  <si>
    <t>Детский санаторно-оздоровительный лагерь "Спутник", г. Таганрог</t>
  </si>
  <si>
    <t>14.07.2016-03.08.2016</t>
  </si>
  <si>
    <t>Детский оздоровительно-образовательный центр "Гренада" (республиканская этнокультурная смена "Радлун"), г. Сыктывкар</t>
  </si>
  <si>
    <t>18.07.2016-07.08.2016</t>
  </si>
  <si>
    <t>01.08.2016-21.08.2016</t>
  </si>
  <si>
    <t>09.08.2016-29.08.2016</t>
  </si>
  <si>
    <t>Итого другие категории детей</t>
  </si>
  <si>
    <t>ТЖС</t>
  </si>
  <si>
    <t>12.07.2016-01.08.2016</t>
  </si>
  <si>
    <t>24.06.2016-14.04.2016</t>
  </si>
  <si>
    <t>ИТОГО категория ТЖС</t>
  </si>
  <si>
    <t>Всего</t>
  </si>
  <si>
    <t>Профильный лагерь "Московские этюды", г. Москва</t>
  </si>
  <si>
    <t>04.05.2016-10.05.2016</t>
  </si>
  <si>
    <t>7</t>
  </si>
  <si>
    <t>24</t>
  </si>
  <si>
    <t>2</t>
  </si>
  <si>
    <t>Профильный лагерь "Город над вольной Невой", г. Санкт-Петербург</t>
  </si>
  <si>
    <t>09.05.2016-15.05.2016</t>
  </si>
  <si>
    <t>13</t>
  </si>
  <si>
    <t>3</t>
  </si>
  <si>
    <t>Детский оздоровительный лагерь "Мечта" (профильная смена для участников финала "Зарница-2016"), г. Сыктывкар</t>
  </si>
  <si>
    <t>16.05.2016-22.05.2016</t>
  </si>
  <si>
    <t>4</t>
  </si>
  <si>
    <t>5</t>
  </si>
  <si>
    <t>11</t>
  </si>
  <si>
    <t>14</t>
  </si>
  <si>
    <t>Туристическая оздоровительная база "Сысола" (палаточный лагерь"), Сысольский район, пос. Первомайский</t>
  </si>
  <si>
    <t>04.08.2016-10.08.2016</t>
  </si>
  <si>
    <t>Детский оздоровительно-образовательный центр "Гренада" (профильная смена "Безопасное колесо"), г. Сыктывкар</t>
  </si>
  <si>
    <t>03.09.2016-09.09.2016</t>
  </si>
  <si>
    <t>15</t>
  </si>
  <si>
    <t>Детский оздоровительно-образовательный центр "Гренада" (профильная смена республиканского слета участников лагерей труда и отдыха, молодых трудовых бригад), г. Сыктывкар</t>
  </si>
  <si>
    <t>04.09.2016-10.09.2016</t>
  </si>
  <si>
    <t>10</t>
  </si>
  <si>
    <t>Детский оздоровительный лагерь "Мечта" (смена для участников республиканских соревнований "Школа безопасности"), г. Сыктывкар</t>
  </si>
  <si>
    <t>12.09.2016-18.09.2016</t>
  </si>
  <si>
    <t>8</t>
  </si>
  <si>
    <t>6</t>
  </si>
  <si>
    <t>9</t>
  </si>
  <si>
    <t>16</t>
  </si>
  <si>
    <t>17</t>
  </si>
  <si>
    <t>Детский санаторно-оздоровительный лагерь "Уральские самоцветы", г. Анапа</t>
  </si>
  <si>
    <t>17.07.2016-07.08.2016</t>
  </si>
  <si>
    <t>Детский санаторно-оздоровительный лагерь "Лесная сказка", Республика Чувашия</t>
  </si>
  <si>
    <t>30.06.2016-20.07.2016</t>
  </si>
  <si>
    <t>03.08.2016-24.08.2016</t>
  </si>
  <si>
    <t>07.08.2016-26.08.2016</t>
  </si>
  <si>
    <t>Детский оздоровительный лагерь "Чайка", п. Малая Слуда, Республика Коми</t>
  </si>
  <si>
    <t>16.07.2016-06.08.2016</t>
  </si>
  <si>
    <t>28.08.2016-17.09.2016</t>
  </si>
  <si>
    <t>18</t>
  </si>
  <si>
    <t>Детский оздоровительный лагерь "Чайка",  (фестиваль для состоящих на проф.учете "Спортивная улица")п. Малая Слуда, Республика Коми</t>
  </si>
  <si>
    <t>другие категория</t>
  </si>
  <si>
    <t>10.09.2016-16.09.2016</t>
  </si>
  <si>
    <t>от 23.09.2016г.2016 года № 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</si>
</sst>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/>
    <xf numFmtId="43" fontId="1" fillId="0" borderId="0" xfId="1" applyFont="1" applyFill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3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41" fontId="1" fillId="0" borderId="1" xfId="1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/>
    <xf numFmtId="43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 vertical="center" textRotation="90" wrapText="1"/>
    </xf>
    <xf numFmtId="165" fontId="1" fillId="0" borderId="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3" fontId="1" fillId="0" borderId="0" xfId="1" applyFont="1" applyFill="1" applyAlignment="1">
      <alignment horizontal="right" vertical="center" wrapText="1"/>
    </xf>
    <xf numFmtId="43" fontId="1" fillId="0" borderId="3" xfId="1" applyFont="1" applyFill="1" applyBorder="1" applyAlignment="1">
      <alignment horizontal="center" vertical="center" textRotation="90" wrapText="1"/>
    </xf>
    <xf numFmtId="49" fontId="1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zoomScale="60" zoomScaleNormal="100" workbookViewId="0">
      <selection activeCell="N4" sqref="N4"/>
    </sheetView>
  </sheetViews>
  <sheetFormatPr defaultColWidth="8.85546875" defaultRowHeight="12.75" x14ac:dyDescent="0.2"/>
  <cols>
    <col min="1" max="1" width="4.42578125" style="1" customWidth="1"/>
    <col min="2" max="2" width="28.28515625" style="1" customWidth="1"/>
    <col min="3" max="3" width="9" style="1" bestFit="1" customWidth="1"/>
    <col min="4" max="4" width="11.28515625" style="1" customWidth="1"/>
    <col min="5" max="7" width="9" style="1" bestFit="1" customWidth="1"/>
    <col min="8" max="18" width="11.85546875" style="1" customWidth="1"/>
    <col min="19" max="19" width="15" style="1" customWidth="1"/>
    <col min="20" max="20" width="12.5703125" style="1" bestFit="1" customWidth="1"/>
    <col min="21" max="21" width="9.85546875" style="1" bestFit="1" customWidth="1"/>
    <col min="22" max="16384" width="8.85546875" style="1"/>
  </cols>
  <sheetData>
    <row r="1" spans="1:23" x14ac:dyDescent="0.2">
      <c r="O1" s="32" t="s">
        <v>23</v>
      </c>
      <c r="P1" s="32"/>
      <c r="Q1" s="32"/>
      <c r="R1" s="32"/>
    </row>
    <row r="2" spans="1:23" x14ac:dyDescent="0.2">
      <c r="O2" s="32" t="s">
        <v>0</v>
      </c>
      <c r="P2" s="32"/>
      <c r="Q2" s="32"/>
      <c r="R2" s="32"/>
    </row>
    <row r="3" spans="1:23" x14ac:dyDescent="0.2">
      <c r="O3" s="32" t="s">
        <v>1</v>
      </c>
      <c r="P3" s="32"/>
      <c r="Q3" s="32"/>
      <c r="R3" s="32"/>
    </row>
    <row r="4" spans="1:23" x14ac:dyDescent="0.2">
      <c r="O4" s="32" t="s">
        <v>90</v>
      </c>
      <c r="P4" s="32"/>
      <c r="Q4" s="32"/>
      <c r="R4" s="32"/>
    </row>
    <row r="5" spans="1:23" x14ac:dyDescent="0.2">
      <c r="A5" s="2"/>
      <c r="B5" s="2"/>
      <c r="C5" s="2"/>
      <c r="D5" s="2"/>
      <c r="E5" s="2"/>
      <c r="F5" s="2"/>
      <c r="G5" s="2"/>
      <c r="H5" s="2"/>
      <c r="I5" s="3"/>
      <c r="J5" s="3"/>
      <c r="K5" s="2"/>
      <c r="L5" s="2"/>
      <c r="M5" s="2"/>
      <c r="N5" s="2"/>
      <c r="O5" s="33"/>
      <c r="P5" s="33"/>
      <c r="Q5" s="33"/>
      <c r="R5" s="33"/>
      <c r="S5" s="33"/>
    </row>
    <row r="6" spans="1:23" ht="13.15" customHeight="1" x14ac:dyDescent="0.2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2"/>
    </row>
    <row r="7" spans="1:23" x14ac:dyDescent="0.2">
      <c r="A7" s="2"/>
      <c r="B7" s="2"/>
      <c r="C7" s="2"/>
      <c r="D7" s="2"/>
      <c r="E7" s="2"/>
      <c r="F7" s="2"/>
      <c r="G7" s="2"/>
      <c r="H7" s="2"/>
      <c r="I7" s="4"/>
      <c r="J7" s="3"/>
      <c r="K7" s="2"/>
      <c r="L7" s="2"/>
      <c r="M7" s="2"/>
      <c r="N7" s="2"/>
      <c r="O7" s="2"/>
      <c r="P7" s="2"/>
      <c r="Q7" s="2"/>
      <c r="R7" s="2"/>
      <c r="S7" s="2"/>
    </row>
    <row r="8" spans="1:23" ht="13.15" customHeight="1" x14ac:dyDescent="0.2">
      <c r="A8" s="30" t="s">
        <v>3</v>
      </c>
      <c r="B8" s="30" t="s">
        <v>4</v>
      </c>
      <c r="C8" s="30" t="s">
        <v>5</v>
      </c>
      <c r="D8" s="30" t="s">
        <v>26</v>
      </c>
      <c r="E8" s="30" t="s">
        <v>6</v>
      </c>
      <c r="F8" s="30" t="s">
        <v>7</v>
      </c>
      <c r="G8" s="30"/>
      <c r="H8" s="30" t="s">
        <v>8</v>
      </c>
      <c r="I8" s="30"/>
      <c r="J8" s="30"/>
      <c r="K8" s="30"/>
      <c r="L8" s="30" t="s">
        <v>9</v>
      </c>
      <c r="M8" s="30"/>
      <c r="N8" s="30" t="s">
        <v>10</v>
      </c>
      <c r="O8" s="30"/>
      <c r="P8" s="30" t="s">
        <v>11</v>
      </c>
      <c r="Q8" s="30"/>
      <c r="R8" s="35" t="s">
        <v>12</v>
      </c>
      <c r="S8" s="5"/>
    </row>
    <row r="9" spans="1:23" x14ac:dyDescent="0.2">
      <c r="A9" s="30"/>
      <c r="B9" s="30"/>
      <c r="C9" s="30"/>
      <c r="D9" s="30"/>
      <c r="E9" s="30"/>
      <c r="F9" s="30" t="s">
        <v>13</v>
      </c>
      <c r="G9" s="30" t="s">
        <v>14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5"/>
      <c r="S9" s="5"/>
    </row>
    <row r="10" spans="1:23" x14ac:dyDescent="0.2">
      <c r="A10" s="30"/>
      <c r="B10" s="30"/>
      <c r="C10" s="30"/>
      <c r="D10" s="30"/>
      <c r="E10" s="30"/>
      <c r="F10" s="30"/>
      <c r="G10" s="30"/>
      <c r="H10" s="30" t="s">
        <v>13</v>
      </c>
      <c r="I10" s="30" t="s">
        <v>15</v>
      </c>
      <c r="J10" s="30" t="s">
        <v>16</v>
      </c>
      <c r="K10" s="30" t="s">
        <v>14</v>
      </c>
      <c r="L10" s="30" t="s">
        <v>13</v>
      </c>
      <c r="M10" s="30" t="s">
        <v>14</v>
      </c>
      <c r="N10" s="30" t="s">
        <v>17</v>
      </c>
      <c r="O10" s="30" t="s">
        <v>18</v>
      </c>
      <c r="P10" s="30" t="s">
        <v>19</v>
      </c>
      <c r="Q10" s="30" t="s">
        <v>18</v>
      </c>
      <c r="R10" s="35"/>
      <c r="S10" s="34"/>
    </row>
    <row r="11" spans="1:23" ht="55.9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5"/>
      <c r="S11" s="34"/>
    </row>
    <row r="12" spans="1:23" ht="25.5" x14ac:dyDescent="0.2">
      <c r="A12" s="27" t="s">
        <v>24</v>
      </c>
      <c r="B12" s="12" t="s">
        <v>47</v>
      </c>
      <c r="C12" s="27" t="s">
        <v>25</v>
      </c>
      <c r="D12" s="27" t="s">
        <v>48</v>
      </c>
      <c r="E12" s="27" t="s">
        <v>49</v>
      </c>
      <c r="F12" s="27" t="s">
        <v>50</v>
      </c>
      <c r="G12" s="27" t="s">
        <v>51</v>
      </c>
      <c r="H12" s="13">
        <f>13300*F12</f>
        <v>319200</v>
      </c>
      <c r="I12" s="13">
        <f>937*7*F12</f>
        <v>157416</v>
      </c>
      <c r="J12" s="13">
        <f>H12-I12-58184.4</f>
        <v>103599.6</v>
      </c>
      <c r="K12" s="13">
        <f>13300*G12</f>
        <v>26600</v>
      </c>
      <c r="L12" s="13">
        <f>4795.6*F12</f>
        <v>115094.40000000001</v>
      </c>
      <c r="M12" s="13">
        <f>6445.6*G12</f>
        <v>12891.2</v>
      </c>
      <c r="N12" s="13"/>
      <c r="O12" s="13"/>
      <c r="P12" s="13">
        <f>Q12/F12</f>
        <v>10757.716666666667</v>
      </c>
      <c r="Q12" s="13">
        <f>J12+K12+L12+M12</f>
        <v>258185.2</v>
      </c>
      <c r="R12" s="14">
        <v>0</v>
      </c>
      <c r="S12" s="24"/>
    </row>
    <row r="13" spans="1:23" ht="38.25" x14ac:dyDescent="0.2">
      <c r="A13" s="27" t="s">
        <v>51</v>
      </c>
      <c r="B13" s="12" t="s">
        <v>52</v>
      </c>
      <c r="C13" s="27" t="s">
        <v>25</v>
      </c>
      <c r="D13" s="27" t="s">
        <v>53</v>
      </c>
      <c r="E13" s="27" t="s">
        <v>49</v>
      </c>
      <c r="F13" s="27" t="s">
        <v>54</v>
      </c>
      <c r="G13" s="27" t="s">
        <v>24</v>
      </c>
      <c r="H13" s="13">
        <f>11000*F13</f>
        <v>143000</v>
      </c>
      <c r="I13" s="13">
        <f>937*7*F13</f>
        <v>85267</v>
      </c>
      <c r="J13" s="13">
        <f>H13-I13+7636.98</f>
        <v>65369.979999999996</v>
      </c>
      <c r="K13" s="13">
        <f>11000*G13</f>
        <v>11000</v>
      </c>
      <c r="L13" s="13">
        <f>4406.4*F13</f>
        <v>57283.199999999997</v>
      </c>
      <c r="M13" s="13">
        <f>5424.4*G13</f>
        <v>5424.4</v>
      </c>
      <c r="N13" s="13"/>
      <c r="O13" s="13"/>
      <c r="P13" s="13">
        <f>Q13/F13</f>
        <v>10698.275384615383</v>
      </c>
      <c r="Q13" s="13">
        <f>J13+K13+L13+M13</f>
        <v>139077.57999999999</v>
      </c>
      <c r="R13" s="14">
        <v>0</v>
      </c>
      <c r="S13" s="24"/>
    </row>
    <row r="14" spans="1:23" ht="51" x14ac:dyDescent="0.2">
      <c r="A14" s="27" t="s">
        <v>55</v>
      </c>
      <c r="B14" s="15" t="s">
        <v>56</v>
      </c>
      <c r="C14" s="27" t="s">
        <v>25</v>
      </c>
      <c r="D14" s="27" t="s">
        <v>57</v>
      </c>
      <c r="E14" s="27" t="s">
        <v>49</v>
      </c>
      <c r="F14" s="27" t="s">
        <v>61</v>
      </c>
      <c r="G14" s="27" t="s">
        <v>51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/>
      <c r="O14" s="13"/>
      <c r="P14" s="13">
        <v>0</v>
      </c>
      <c r="Q14" s="13">
        <v>0</v>
      </c>
      <c r="R14" s="14">
        <v>0</v>
      </c>
      <c r="S14" s="24"/>
    </row>
    <row r="15" spans="1:23" ht="38.25" x14ac:dyDescent="0.2">
      <c r="A15" s="27" t="s">
        <v>58</v>
      </c>
      <c r="B15" s="12" t="s">
        <v>33</v>
      </c>
      <c r="C15" s="27" t="s">
        <v>25</v>
      </c>
      <c r="D15" s="27" t="s">
        <v>27</v>
      </c>
      <c r="E15" s="27" t="s">
        <v>28</v>
      </c>
      <c r="F15" s="27" t="s">
        <v>29</v>
      </c>
      <c r="G15" s="27" t="s">
        <v>24</v>
      </c>
      <c r="H15" s="13">
        <f>21500*F15</f>
        <v>258000</v>
      </c>
      <c r="I15" s="13">
        <f>937*21*F15</f>
        <v>236124</v>
      </c>
      <c r="J15" s="13">
        <f t="shared" ref="J15:J25" si="0">H15-I15</f>
        <v>21876</v>
      </c>
      <c r="K15" s="13">
        <f>21500*G15</f>
        <v>21500</v>
      </c>
      <c r="L15" s="13">
        <f>8800*F15+4575.94</f>
        <v>110175.94</v>
      </c>
      <c r="M15" s="13">
        <f>13616*G15</f>
        <v>13616</v>
      </c>
      <c r="N15" s="13"/>
      <c r="O15" s="13"/>
      <c r="P15" s="13">
        <f t="shared" ref="P15:P22" si="1">Q15/F15</f>
        <v>12795.995000000001</v>
      </c>
      <c r="Q15" s="13">
        <f>J15+K15+L15</f>
        <v>153551.94</v>
      </c>
      <c r="R15" s="14">
        <f t="shared" ref="R15:R21" si="2">M15</f>
        <v>13616</v>
      </c>
      <c r="S15" s="24"/>
    </row>
    <row r="16" spans="1:23" ht="25.5" x14ac:dyDescent="0.2">
      <c r="A16" s="27" t="s">
        <v>59</v>
      </c>
      <c r="B16" s="15" t="s">
        <v>20</v>
      </c>
      <c r="C16" s="27" t="s">
        <v>25</v>
      </c>
      <c r="D16" s="11" t="s">
        <v>30</v>
      </c>
      <c r="E16" s="16">
        <v>21</v>
      </c>
      <c r="F16" s="16">
        <v>12</v>
      </c>
      <c r="G16" s="16">
        <v>1</v>
      </c>
      <c r="H16" s="13">
        <f>23600*F16</f>
        <v>283200</v>
      </c>
      <c r="I16" s="13">
        <f t="shared" ref="I16:I25" si="3">937*21*F16</f>
        <v>236124</v>
      </c>
      <c r="J16" s="13">
        <f t="shared" si="0"/>
        <v>47076</v>
      </c>
      <c r="K16" s="13">
        <f>23600*G16</f>
        <v>23600</v>
      </c>
      <c r="L16" s="13">
        <f>9320*F16+2921.56</f>
        <v>114761.56</v>
      </c>
      <c r="M16" s="13">
        <f>14687.8*G16</f>
        <v>14687.8</v>
      </c>
      <c r="N16" s="13"/>
      <c r="O16" s="13"/>
      <c r="P16" s="13">
        <f t="shared" si="1"/>
        <v>15453.13</v>
      </c>
      <c r="Q16" s="13">
        <f>J16+K16+L16</f>
        <v>185437.56</v>
      </c>
      <c r="R16" s="14">
        <f t="shared" si="2"/>
        <v>14687.8</v>
      </c>
      <c r="S16" s="24"/>
      <c r="T16" s="8"/>
      <c r="U16" s="8"/>
      <c r="V16" s="8"/>
      <c r="W16" s="8"/>
    </row>
    <row r="17" spans="1:23" ht="38.25" x14ac:dyDescent="0.2">
      <c r="A17" s="27" t="s">
        <v>73</v>
      </c>
      <c r="B17" s="15" t="s">
        <v>32</v>
      </c>
      <c r="C17" s="27" t="s">
        <v>25</v>
      </c>
      <c r="D17" s="11" t="s">
        <v>31</v>
      </c>
      <c r="E17" s="16">
        <v>21</v>
      </c>
      <c r="F17" s="16">
        <v>12</v>
      </c>
      <c r="G17" s="16">
        <v>0</v>
      </c>
      <c r="H17" s="13">
        <f>20160*F17</f>
        <v>241920</v>
      </c>
      <c r="I17" s="13">
        <f t="shared" si="3"/>
        <v>236124</v>
      </c>
      <c r="J17" s="13">
        <f t="shared" si="0"/>
        <v>5796</v>
      </c>
      <c r="K17" s="13">
        <f>23600*G17</f>
        <v>0</v>
      </c>
      <c r="L17" s="13">
        <v>0</v>
      </c>
      <c r="M17" s="13">
        <f>13680*G17</f>
        <v>0</v>
      </c>
      <c r="N17" s="13"/>
      <c r="O17" s="13"/>
      <c r="P17" s="13">
        <f t="shared" si="1"/>
        <v>483</v>
      </c>
      <c r="Q17" s="13">
        <f t="shared" ref="Q17:Q24" si="4">J17+K17+L17</f>
        <v>5796</v>
      </c>
      <c r="R17" s="14">
        <f t="shared" si="2"/>
        <v>0</v>
      </c>
      <c r="S17" s="24"/>
      <c r="T17" s="8"/>
      <c r="U17" s="8"/>
      <c r="V17" s="8"/>
      <c r="W17" s="8"/>
    </row>
    <row r="18" spans="1:23" ht="25.5" x14ac:dyDescent="0.2">
      <c r="A18" s="27" t="s">
        <v>49</v>
      </c>
      <c r="B18" s="15" t="s">
        <v>20</v>
      </c>
      <c r="C18" s="27" t="s">
        <v>25</v>
      </c>
      <c r="D18" s="11" t="s">
        <v>34</v>
      </c>
      <c r="E18" s="16">
        <v>21</v>
      </c>
      <c r="F18" s="16">
        <v>13</v>
      </c>
      <c r="G18" s="16">
        <v>1</v>
      </c>
      <c r="H18" s="13">
        <f>23600*F18</f>
        <v>306800</v>
      </c>
      <c r="I18" s="13">
        <f t="shared" si="3"/>
        <v>255801</v>
      </c>
      <c r="J18" s="13">
        <f t="shared" si="0"/>
        <v>50999</v>
      </c>
      <c r="K18" s="13">
        <f>23600*G18</f>
        <v>23600</v>
      </c>
      <c r="L18" s="13">
        <f>9320*F18+1806.72</f>
        <v>122966.72</v>
      </c>
      <c r="M18" s="13">
        <f>14687.8*G18</f>
        <v>14687.8</v>
      </c>
      <c r="N18" s="13"/>
      <c r="O18" s="13"/>
      <c r="P18" s="13">
        <f t="shared" si="1"/>
        <v>15197.363076923077</v>
      </c>
      <c r="Q18" s="13">
        <f t="shared" si="4"/>
        <v>197565.72</v>
      </c>
      <c r="R18" s="14">
        <f t="shared" si="2"/>
        <v>14687.8</v>
      </c>
      <c r="S18" s="24"/>
      <c r="T18" s="8"/>
      <c r="U18" s="8"/>
      <c r="V18" s="8"/>
      <c r="W18" s="8"/>
    </row>
    <row r="19" spans="1:23" ht="38.25" x14ac:dyDescent="0.2">
      <c r="A19" s="27" t="s">
        <v>72</v>
      </c>
      <c r="B19" s="12" t="s">
        <v>33</v>
      </c>
      <c r="C19" s="27" t="s">
        <v>25</v>
      </c>
      <c r="D19" s="27" t="s">
        <v>36</v>
      </c>
      <c r="E19" s="27" t="s">
        <v>28</v>
      </c>
      <c r="F19" s="27" t="s">
        <v>29</v>
      </c>
      <c r="G19" s="27" t="s">
        <v>24</v>
      </c>
      <c r="H19" s="13">
        <f>21500*F19</f>
        <v>258000</v>
      </c>
      <c r="I19" s="13">
        <f>937*21*F19</f>
        <v>236124</v>
      </c>
      <c r="J19" s="13">
        <f t="shared" ref="J19" si="5">H19-I19</f>
        <v>21876</v>
      </c>
      <c r="K19" s="13">
        <f>21500*G19</f>
        <v>21500</v>
      </c>
      <c r="L19" s="13">
        <f>8800*F19+3875.98+703.44</f>
        <v>110179.42</v>
      </c>
      <c r="M19" s="13">
        <f>13616*G19</f>
        <v>13616</v>
      </c>
      <c r="N19" s="13"/>
      <c r="O19" s="13"/>
      <c r="P19" s="13">
        <f t="shared" si="1"/>
        <v>12796.284999999998</v>
      </c>
      <c r="Q19" s="13">
        <f>J19+K19+L19</f>
        <v>153555.41999999998</v>
      </c>
      <c r="R19" s="14">
        <f t="shared" si="2"/>
        <v>13616</v>
      </c>
      <c r="S19" s="24"/>
      <c r="T19" s="8"/>
      <c r="U19" s="8"/>
      <c r="V19" s="8"/>
      <c r="W19" s="8"/>
    </row>
    <row r="20" spans="1:23" ht="38.25" x14ac:dyDescent="0.2">
      <c r="A20" s="27" t="s">
        <v>74</v>
      </c>
      <c r="B20" s="12" t="s">
        <v>35</v>
      </c>
      <c r="C20" s="27" t="s">
        <v>25</v>
      </c>
      <c r="D20" s="11" t="s">
        <v>36</v>
      </c>
      <c r="E20" s="16">
        <v>21</v>
      </c>
      <c r="F20" s="16">
        <v>12</v>
      </c>
      <c r="G20" s="16">
        <v>1</v>
      </c>
      <c r="H20" s="13">
        <f>21500*F20</f>
        <v>258000</v>
      </c>
      <c r="I20" s="13">
        <f t="shared" si="3"/>
        <v>236124</v>
      </c>
      <c r="J20" s="13">
        <f t="shared" si="0"/>
        <v>21876</v>
      </c>
      <c r="K20" s="13">
        <f>21500*G20</f>
        <v>21500</v>
      </c>
      <c r="L20" s="13">
        <f>8800*F20+3872.92</f>
        <v>109472.92</v>
      </c>
      <c r="M20" s="13">
        <f>13616*G20</f>
        <v>13616</v>
      </c>
      <c r="N20" s="13"/>
      <c r="O20" s="13"/>
      <c r="P20" s="13">
        <f t="shared" si="1"/>
        <v>12737.409999999998</v>
      </c>
      <c r="Q20" s="13">
        <f t="shared" si="4"/>
        <v>152848.91999999998</v>
      </c>
      <c r="R20" s="14">
        <f t="shared" si="2"/>
        <v>13616</v>
      </c>
      <c r="S20" s="24"/>
      <c r="T20" s="8"/>
      <c r="U20" s="8"/>
      <c r="V20" s="8"/>
      <c r="W20" s="8"/>
    </row>
    <row r="21" spans="1:23" ht="63.75" x14ac:dyDescent="0.2">
      <c r="A21" s="27" t="s">
        <v>69</v>
      </c>
      <c r="B21" s="15" t="s">
        <v>37</v>
      </c>
      <c r="C21" s="27" t="s">
        <v>25</v>
      </c>
      <c r="D21" s="11" t="s">
        <v>38</v>
      </c>
      <c r="E21" s="16">
        <v>21</v>
      </c>
      <c r="F21" s="16">
        <v>10</v>
      </c>
      <c r="G21" s="16">
        <v>0</v>
      </c>
      <c r="H21" s="13">
        <f>22680*F21</f>
        <v>226800</v>
      </c>
      <c r="I21" s="13">
        <f t="shared" si="3"/>
        <v>196770</v>
      </c>
      <c r="J21" s="13">
        <f t="shared" si="0"/>
        <v>30030</v>
      </c>
      <c r="K21" s="13">
        <f>23600*G21</f>
        <v>0</v>
      </c>
      <c r="L21" s="13">
        <v>0</v>
      </c>
      <c r="M21" s="13">
        <f>13680*G21</f>
        <v>0</v>
      </c>
      <c r="N21" s="13"/>
      <c r="O21" s="13"/>
      <c r="P21" s="13">
        <f t="shared" si="1"/>
        <v>3003</v>
      </c>
      <c r="Q21" s="13">
        <f t="shared" si="4"/>
        <v>30030</v>
      </c>
      <c r="R21" s="14">
        <f t="shared" si="2"/>
        <v>0</v>
      </c>
      <c r="S21" s="24"/>
      <c r="T21" s="8"/>
      <c r="U21" s="8"/>
      <c r="V21" s="8"/>
      <c r="W21" s="8"/>
    </row>
    <row r="22" spans="1:23" ht="25.5" x14ac:dyDescent="0.2">
      <c r="A22" s="27" t="s">
        <v>60</v>
      </c>
      <c r="B22" s="15" t="s">
        <v>22</v>
      </c>
      <c r="C22" s="27" t="s">
        <v>25</v>
      </c>
      <c r="D22" s="11" t="s">
        <v>39</v>
      </c>
      <c r="E22" s="16">
        <v>21</v>
      </c>
      <c r="F22" s="16">
        <v>12</v>
      </c>
      <c r="G22" s="16">
        <v>1</v>
      </c>
      <c r="H22" s="13">
        <f>20000*F22</f>
        <v>240000</v>
      </c>
      <c r="I22" s="13">
        <f t="shared" si="3"/>
        <v>236124</v>
      </c>
      <c r="J22" s="13">
        <f>H22-I22</f>
        <v>3876</v>
      </c>
      <c r="K22" s="13">
        <v>0</v>
      </c>
      <c r="L22" s="13">
        <f>3565.6*F22+19464.18</f>
        <v>62251.38</v>
      </c>
      <c r="M22" s="13">
        <v>3832.85</v>
      </c>
      <c r="N22" s="13">
        <f>O22/F22</f>
        <v>319.40416666666664</v>
      </c>
      <c r="O22" s="13">
        <f>M22*G22</f>
        <v>3832.85</v>
      </c>
      <c r="P22" s="13">
        <f t="shared" si="1"/>
        <v>5510.6150000000007</v>
      </c>
      <c r="Q22" s="13">
        <f>J22+K22+L22</f>
        <v>66127.38</v>
      </c>
      <c r="R22" s="14">
        <v>0</v>
      </c>
      <c r="S22" s="24"/>
      <c r="T22" s="8"/>
      <c r="U22" s="8"/>
      <c r="V22" s="8"/>
      <c r="W22" s="8"/>
    </row>
    <row r="23" spans="1:23" ht="51" x14ac:dyDescent="0.2">
      <c r="A23" s="27" t="s">
        <v>29</v>
      </c>
      <c r="B23" s="15" t="s">
        <v>62</v>
      </c>
      <c r="C23" s="27" t="s">
        <v>25</v>
      </c>
      <c r="D23" s="11" t="s">
        <v>63</v>
      </c>
      <c r="E23" s="16">
        <v>7</v>
      </c>
      <c r="F23" s="16">
        <v>6</v>
      </c>
      <c r="G23" s="16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/>
      <c r="P23" s="13">
        <v>0</v>
      </c>
      <c r="Q23" s="13">
        <v>0</v>
      </c>
      <c r="R23" s="14">
        <v>0</v>
      </c>
      <c r="S23" s="24"/>
      <c r="T23" s="8"/>
      <c r="U23" s="8"/>
      <c r="V23" s="8"/>
      <c r="W23" s="8"/>
    </row>
    <row r="24" spans="1:23" ht="38.25" x14ac:dyDescent="0.2">
      <c r="A24" s="27" t="s">
        <v>54</v>
      </c>
      <c r="B24" s="15" t="s">
        <v>32</v>
      </c>
      <c r="C24" s="27" t="s">
        <v>25</v>
      </c>
      <c r="D24" s="11" t="s">
        <v>40</v>
      </c>
      <c r="E24" s="16">
        <v>21</v>
      </c>
      <c r="F24" s="16">
        <v>11</v>
      </c>
      <c r="G24" s="16">
        <v>0</v>
      </c>
      <c r="H24" s="13">
        <f>20160*F24</f>
        <v>221760</v>
      </c>
      <c r="I24" s="13">
        <f t="shared" si="3"/>
        <v>216447</v>
      </c>
      <c r="J24" s="13">
        <f t="shared" si="0"/>
        <v>5313</v>
      </c>
      <c r="K24" s="13">
        <f>23600*G24</f>
        <v>0</v>
      </c>
      <c r="L24" s="13">
        <v>0</v>
      </c>
      <c r="M24" s="13">
        <f>13680*G24</f>
        <v>0</v>
      </c>
      <c r="N24" s="13"/>
      <c r="O24" s="13"/>
      <c r="P24" s="13">
        <f>Q24/F24</f>
        <v>483</v>
      </c>
      <c r="Q24" s="13">
        <f t="shared" si="4"/>
        <v>5313</v>
      </c>
      <c r="R24" s="14">
        <f>M24</f>
        <v>0</v>
      </c>
      <c r="S24" s="24"/>
      <c r="T24" s="8"/>
      <c r="U24" s="8"/>
      <c r="V24" s="8"/>
      <c r="W24" s="8"/>
    </row>
    <row r="25" spans="1:23" ht="38.25" x14ac:dyDescent="0.2">
      <c r="A25" s="27" t="s">
        <v>61</v>
      </c>
      <c r="B25" s="12" t="s">
        <v>33</v>
      </c>
      <c r="C25" s="27" t="s">
        <v>25</v>
      </c>
      <c r="D25" s="27" t="s">
        <v>85</v>
      </c>
      <c r="E25" s="27" t="s">
        <v>28</v>
      </c>
      <c r="F25" s="27" t="s">
        <v>29</v>
      </c>
      <c r="G25" s="27" t="s">
        <v>24</v>
      </c>
      <c r="H25" s="13">
        <f>21500*F25</f>
        <v>258000</v>
      </c>
      <c r="I25" s="13">
        <f t="shared" si="3"/>
        <v>236124</v>
      </c>
      <c r="J25" s="13">
        <f t="shared" si="0"/>
        <v>21876</v>
      </c>
      <c r="K25" s="13">
        <f>21500*G25</f>
        <v>21500</v>
      </c>
      <c r="L25" s="13">
        <f>8800*F25+5279.44</f>
        <v>110879.44</v>
      </c>
      <c r="M25" s="13">
        <f>13616*G25</f>
        <v>13616</v>
      </c>
      <c r="N25" s="13"/>
      <c r="O25" s="13"/>
      <c r="P25" s="13">
        <f>Q25/F25</f>
        <v>12854.62</v>
      </c>
      <c r="Q25" s="13">
        <f>J25+K25+L25</f>
        <v>154255.44</v>
      </c>
      <c r="R25" s="14">
        <f>M25</f>
        <v>13616</v>
      </c>
      <c r="S25" s="24"/>
      <c r="T25" s="8"/>
      <c r="U25" s="8"/>
      <c r="V25" s="8"/>
      <c r="W25" s="8"/>
    </row>
    <row r="26" spans="1:23" ht="63.75" x14ac:dyDescent="0.2">
      <c r="A26" s="27" t="s">
        <v>66</v>
      </c>
      <c r="B26" s="15" t="s">
        <v>64</v>
      </c>
      <c r="C26" s="27" t="s">
        <v>25</v>
      </c>
      <c r="D26" s="27" t="s">
        <v>65</v>
      </c>
      <c r="E26" s="27" t="s">
        <v>49</v>
      </c>
      <c r="F26" s="27" t="s">
        <v>58</v>
      </c>
      <c r="G26" s="27" t="s">
        <v>24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/>
      <c r="O26" s="13"/>
      <c r="P26" s="13">
        <v>0</v>
      </c>
      <c r="Q26" s="13">
        <v>0</v>
      </c>
      <c r="R26" s="14">
        <v>0</v>
      </c>
      <c r="S26" s="24"/>
      <c r="T26" s="8"/>
      <c r="U26" s="8"/>
      <c r="V26" s="8"/>
      <c r="W26" s="8"/>
    </row>
    <row r="27" spans="1:23" ht="89.25" x14ac:dyDescent="0.2">
      <c r="A27" s="27" t="s">
        <v>75</v>
      </c>
      <c r="B27" s="15" t="s">
        <v>67</v>
      </c>
      <c r="C27" s="27" t="s">
        <v>25</v>
      </c>
      <c r="D27" s="27" t="s">
        <v>68</v>
      </c>
      <c r="E27" s="27" t="s">
        <v>49</v>
      </c>
      <c r="F27" s="27" t="s">
        <v>69</v>
      </c>
      <c r="G27" s="27" t="s">
        <v>24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13"/>
      <c r="P27" s="13">
        <v>0</v>
      </c>
      <c r="Q27" s="13">
        <v>0</v>
      </c>
      <c r="R27" s="14">
        <v>0</v>
      </c>
      <c r="S27" s="24"/>
      <c r="T27" s="8"/>
      <c r="U27" s="8"/>
      <c r="V27" s="8"/>
      <c r="W27" s="8"/>
    </row>
    <row r="28" spans="1:23" ht="63.75" x14ac:dyDescent="0.2">
      <c r="A28" s="28" t="s">
        <v>76</v>
      </c>
      <c r="B28" s="15" t="s">
        <v>87</v>
      </c>
      <c r="C28" s="28" t="s">
        <v>88</v>
      </c>
      <c r="D28" s="28" t="s">
        <v>89</v>
      </c>
      <c r="E28" s="28" t="s">
        <v>49</v>
      </c>
      <c r="F28" s="28" t="s">
        <v>29</v>
      </c>
      <c r="G28" s="28" t="s">
        <v>24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/>
      <c r="O28" s="13"/>
      <c r="P28" s="13">
        <v>0</v>
      </c>
      <c r="Q28" s="13">
        <v>0</v>
      </c>
      <c r="R28" s="14">
        <v>0</v>
      </c>
      <c r="S28" s="24"/>
      <c r="T28" s="8"/>
      <c r="U28" s="8"/>
      <c r="V28" s="8"/>
      <c r="W28" s="8"/>
    </row>
    <row r="29" spans="1:23" ht="63.75" x14ac:dyDescent="0.2">
      <c r="A29" s="27" t="s">
        <v>86</v>
      </c>
      <c r="B29" s="15" t="s">
        <v>70</v>
      </c>
      <c r="C29" s="27" t="s">
        <v>25</v>
      </c>
      <c r="D29" s="27" t="s">
        <v>71</v>
      </c>
      <c r="E29" s="27" t="s">
        <v>49</v>
      </c>
      <c r="F29" s="27" t="s">
        <v>72</v>
      </c>
      <c r="G29" s="27" t="s">
        <v>24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/>
      <c r="P29" s="13">
        <v>0</v>
      </c>
      <c r="Q29" s="13">
        <v>0</v>
      </c>
      <c r="R29" s="14">
        <v>0</v>
      </c>
      <c r="S29" s="24"/>
      <c r="T29" s="8"/>
      <c r="U29" s="8"/>
      <c r="V29" s="8"/>
      <c r="W29" s="8"/>
    </row>
    <row r="30" spans="1:23" x14ac:dyDescent="0.2">
      <c r="A30" s="6"/>
      <c r="B30" s="7" t="s">
        <v>41</v>
      </c>
      <c r="C30" s="7"/>
      <c r="D30" s="7"/>
      <c r="E30" s="17"/>
      <c r="F30" s="19">
        <f>F12+F13+F14+F15+F16+F17+F18+F19+F20+F21+F22+F23+F24+F25+F26+F27+F28+F29</f>
        <v>209</v>
      </c>
      <c r="G30" s="17"/>
      <c r="H30" s="18">
        <f t="shared" ref="H30:R30" si="6">H12+H13+H14+H15+H16+H17+H18+H20+H21+H22+H23+H24+H25+H26+H27+H29</f>
        <v>2756680</v>
      </c>
      <c r="I30" s="18">
        <f t="shared" si="6"/>
        <v>2328445</v>
      </c>
      <c r="J30" s="18">
        <f t="shared" si="6"/>
        <v>377687.58</v>
      </c>
      <c r="K30" s="18">
        <f t="shared" si="6"/>
        <v>149300</v>
      </c>
      <c r="L30" s="18">
        <f t="shared" si="6"/>
        <v>802885.56</v>
      </c>
      <c r="M30" s="18">
        <f t="shared" si="6"/>
        <v>92372.05</v>
      </c>
      <c r="N30" s="18">
        <f t="shared" si="6"/>
        <v>319.40416666666664</v>
      </c>
      <c r="O30" s="18">
        <f t="shared" si="6"/>
        <v>3832.85</v>
      </c>
      <c r="P30" s="18">
        <f t="shared" si="6"/>
        <v>99974.125128205123</v>
      </c>
      <c r="Q30" s="18">
        <f t="shared" si="6"/>
        <v>1348188.7399999998</v>
      </c>
      <c r="R30" s="18">
        <f t="shared" si="6"/>
        <v>70223.600000000006</v>
      </c>
      <c r="S30" s="24"/>
      <c r="T30" s="8"/>
      <c r="U30" s="8"/>
      <c r="V30" s="8"/>
    </row>
    <row r="31" spans="1:23" ht="38.25" x14ac:dyDescent="0.2">
      <c r="A31" s="27" t="s">
        <v>24</v>
      </c>
      <c r="B31" s="12" t="s">
        <v>35</v>
      </c>
      <c r="C31" s="27" t="s">
        <v>42</v>
      </c>
      <c r="D31" s="11" t="s">
        <v>27</v>
      </c>
      <c r="E31" s="16">
        <v>21</v>
      </c>
      <c r="F31" s="16">
        <v>12</v>
      </c>
      <c r="G31" s="16">
        <v>1</v>
      </c>
      <c r="H31" s="13">
        <f>21500*F31</f>
        <v>258000</v>
      </c>
      <c r="I31" s="13">
        <f t="shared" ref="I31:I37" si="7">H31</f>
        <v>258000</v>
      </c>
      <c r="J31" s="13">
        <f>H31-I31</f>
        <v>0</v>
      </c>
      <c r="K31" s="13">
        <f>21500*G31</f>
        <v>21500</v>
      </c>
      <c r="L31" s="13">
        <f>10665.9*F31</f>
        <v>127990.79999999999</v>
      </c>
      <c r="M31" s="13">
        <f>13616*G31</f>
        <v>13616</v>
      </c>
      <c r="N31" s="13">
        <f t="shared" ref="N31:N38" si="8">O31/F31</f>
        <v>1791.6666666666667</v>
      </c>
      <c r="O31" s="13">
        <f>K31</f>
        <v>21500</v>
      </c>
      <c r="P31" s="13">
        <f t="shared" ref="P31:P38" si="9">L31/F31*0.1</f>
        <v>1066.5899999999999</v>
      </c>
      <c r="Q31" s="13">
        <f t="shared" ref="Q31" si="10">P31*F31</f>
        <v>12799.079999999998</v>
      </c>
      <c r="R31" s="14">
        <f>M31</f>
        <v>13616</v>
      </c>
      <c r="S31" s="25"/>
      <c r="T31" s="8"/>
      <c r="U31" s="8"/>
      <c r="V31" s="8"/>
      <c r="W31" s="8"/>
    </row>
    <row r="32" spans="1:23" ht="25.5" x14ac:dyDescent="0.2">
      <c r="A32" s="29" t="s">
        <v>51</v>
      </c>
      <c r="B32" s="15" t="s">
        <v>22</v>
      </c>
      <c r="C32" s="27" t="s">
        <v>42</v>
      </c>
      <c r="D32" s="11" t="s">
        <v>43</v>
      </c>
      <c r="E32" s="16">
        <v>21</v>
      </c>
      <c r="F32" s="16">
        <v>13</v>
      </c>
      <c r="G32" s="16">
        <v>1</v>
      </c>
      <c r="H32" s="13">
        <f>20000*F32</f>
        <v>260000</v>
      </c>
      <c r="I32" s="13">
        <f>H32</f>
        <v>260000</v>
      </c>
      <c r="J32" s="13">
        <v>0</v>
      </c>
      <c r="K32" s="13">
        <v>0</v>
      </c>
      <c r="L32" s="13">
        <f>3565.6*F32+15842.54+670-3.7</f>
        <v>62861.64</v>
      </c>
      <c r="M32" s="13">
        <v>0</v>
      </c>
      <c r="N32" s="13">
        <f>O32/F32</f>
        <v>0</v>
      </c>
      <c r="O32" s="13">
        <f>M32</f>
        <v>0</v>
      </c>
      <c r="P32" s="13">
        <f>L32/F32*0.1</f>
        <v>483.55107692307695</v>
      </c>
      <c r="Q32" s="13">
        <f>P32*F32</f>
        <v>6286.1640000000007</v>
      </c>
      <c r="R32" s="14">
        <v>0</v>
      </c>
      <c r="S32" s="25"/>
      <c r="T32" s="8"/>
      <c r="U32" s="8"/>
      <c r="V32" s="8"/>
      <c r="W32" s="8"/>
    </row>
    <row r="33" spans="1:23" ht="38.25" x14ac:dyDescent="0.2">
      <c r="A33" s="29" t="s">
        <v>55</v>
      </c>
      <c r="B33" s="15" t="s">
        <v>21</v>
      </c>
      <c r="C33" s="11" t="s">
        <v>42</v>
      </c>
      <c r="D33" s="11" t="s">
        <v>82</v>
      </c>
      <c r="E33" s="16">
        <v>20</v>
      </c>
      <c r="F33" s="16">
        <v>13</v>
      </c>
      <c r="G33" s="16">
        <v>1</v>
      </c>
      <c r="H33" s="13">
        <f>20265*F33</f>
        <v>263445</v>
      </c>
      <c r="I33" s="13">
        <f>H33</f>
        <v>263445</v>
      </c>
      <c r="J33" s="13">
        <v>0</v>
      </c>
      <c r="K33" s="13">
        <v>0</v>
      </c>
      <c r="L33" s="13">
        <f>4867.36*F33</f>
        <v>63275.679999999993</v>
      </c>
      <c r="M33" s="13">
        <v>0</v>
      </c>
      <c r="N33" s="13">
        <f>O33/F33</f>
        <v>0</v>
      </c>
      <c r="O33" s="13">
        <f>M33</f>
        <v>0</v>
      </c>
      <c r="P33" s="13">
        <f>L33/F33*0.1</f>
        <v>486.73599999999999</v>
      </c>
      <c r="Q33" s="13">
        <f>P33*F33</f>
        <v>6327.5680000000002</v>
      </c>
      <c r="R33" s="14">
        <v>0</v>
      </c>
      <c r="S33" s="25"/>
      <c r="T33" s="8"/>
      <c r="U33" s="8"/>
      <c r="V33" s="8"/>
      <c r="W33" s="8"/>
    </row>
    <row r="34" spans="1:23" ht="38.25" x14ac:dyDescent="0.2">
      <c r="A34" s="27" t="s">
        <v>58</v>
      </c>
      <c r="B34" s="15" t="s">
        <v>32</v>
      </c>
      <c r="C34" s="27" t="s">
        <v>42</v>
      </c>
      <c r="D34" s="11" t="s">
        <v>44</v>
      </c>
      <c r="E34" s="16">
        <v>21</v>
      </c>
      <c r="F34" s="16">
        <v>11</v>
      </c>
      <c r="G34" s="16">
        <v>0</v>
      </c>
      <c r="H34" s="13">
        <f>20160*F34</f>
        <v>221760</v>
      </c>
      <c r="I34" s="13">
        <f t="shared" ref="I34" si="11">H34</f>
        <v>221760</v>
      </c>
      <c r="J34" s="13">
        <f>H34-I34</f>
        <v>0</v>
      </c>
      <c r="K34" s="13">
        <f>23600*G34</f>
        <v>0</v>
      </c>
      <c r="L34" s="13">
        <v>0</v>
      </c>
      <c r="M34" s="13">
        <f>13680*G34</f>
        <v>0</v>
      </c>
      <c r="N34" s="13">
        <v>0</v>
      </c>
      <c r="O34" s="13">
        <v>0</v>
      </c>
      <c r="P34" s="13">
        <f>Q34/F34</f>
        <v>0</v>
      </c>
      <c r="Q34" s="13">
        <f>J34+K34+L34</f>
        <v>0</v>
      </c>
      <c r="R34" s="14">
        <f>M34</f>
        <v>0</v>
      </c>
      <c r="S34" s="25"/>
      <c r="T34" s="8"/>
      <c r="U34" s="8"/>
      <c r="V34" s="8"/>
      <c r="W34" s="8"/>
    </row>
    <row r="35" spans="1:23" ht="38.25" x14ac:dyDescent="0.2">
      <c r="A35" s="27" t="s">
        <v>59</v>
      </c>
      <c r="B35" s="12" t="s">
        <v>79</v>
      </c>
      <c r="C35" s="27" t="s">
        <v>42</v>
      </c>
      <c r="D35" s="11" t="s">
        <v>80</v>
      </c>
      <c r="E35" s="16">
        <v>21</v>
      </c>
      <c r="F35" s="16">
        <v>8</v>
      </c>
      <c r="G35" s="16">
        <v>1</v>
      </c>
      <c r="H35" s="13">
        <f>20500*F35</f>
        <v>164000</v>
      </c>
      <c r="I35" s="13">
        <f t="shared" si="7"/>
        <v>164000</v>
      </c>
      <c r="J35" s="13">
        <f>H35-I35</f>
        <v>0</v>
      </c>
      <c r="K35" s="13">
        <f>0*G35</f>
        <v>0</v>
      </c>
      <c r="L35" s="13">
        <f>7985.9*F35</f>
        <v>63887.199999999997</v>
      </c>
      <c r="M35" s="13">
        <v>0</v>
      </c>
      <c r="N35" s="13">
        <f t="shared" si="8"/>
        <v>0</v>
      </c>
      <c r="O35" s="13">
        <f>K35</f>
        <v>0</v>
      </c>
      <c r="P35" s="13">
        <f t="shared" si="9"/>
        <v>798.59</v>
      </c>
      <c r="Q35" s="13">
        <f>P35*F35</f>
        <v>6388.72</v>
      </c>
      <c r="R35" s="14">
        <f>M35</f>
        <v>0</v>
      </c>
      <c r="S35" s="25"/>
      <c r="T35" s="8"/>
      <c r="U35" s="8"/>
      <c r="V35" s="8"/>
      <c r="W35" s="8"/>
    </row>
    <row r="36" spans="1:23" ht="38.25" x14ac:dyDescent="0.2">
      <c r="A36" s="27" t="s">
        <v>73</v>
      </c>
      <c r="B36" s="15" t="s">
        <v>83</v>
      </c>
      <c r="C36" s="27" t="s">
        <v>42</v>
      </c>
      <c r="D36" s="11" t="s">
        <v>84</v>
      </c>
      <c r="E36" s="16">
        <v>21</v>
      </c>
      <c r="F36" s="16">
        <v>2</v>
      </c>
      <c r="G36" s="16">
        <v>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0</v>
      </c>
      <c r="S36" s="25"/>
      <c r="T36" s="8"/>
      <c r="U36" s="8"/>
      <c r="V36" s="8"/>
      <c r="W36" s="8"/>
    </row>
    <row r="37" spans="1:23" ht="51" x14ac:dyDescent="0.2">
      <c r="A37" s="27" t="s">
        <v>49</v>
      </c>
      <c r="B37" s="15" t="s">
        <v>77</v>
      </c>
      <c r="C37" s="27" t="s">
        <v>42</v>
      </c>
      <c r="D37" s="11" t="s">
        <v>78</v>
      </c>
      <c r="E37" s="16">
        <v>21</v>
      </c>
      <c r="F37" s="16">
        <v>12</v>
      </c>
      <c r="G37" s="16">
        <v>1</v>
      </c>
      <c r="H37" s="13">
        <f>28350*F37</f>
        <v>340200</v>
      </c>
      <c r="I37" s="13">
        <f t="shared" si="7"/>
        <v>340200</v>
      </c>
      <c r="J37" s="13">
        <f>H37-I37</f>
        <v>0</v>
      </c>
      <c r="K37" s="13">
        <f>28350*G37</f>
        <v>28350</v>
      </c>
      <c r="L37" s="13">
        <f>9549.75*F37</f>
        <v>114597</v>
      </c>
      <c r="M37" s="13">
        <v>0</v>
      </c>
      <c r="N37" s="13">
        <f t="shared" si="8"/>
        <v>2362.5</v>
      </c>
      <c r="O37" s="13">
        <f>K37</f>
        <v>28350</v>
      </c>
      <c r="P37" s="13">
        <f>L37/F37*0.1</f>
        <v>954.97500000000002</v>
      </c>
      <c r="Q37" s="13">
        <f>P37*F37</f>
        <v>11459.7</v>
      </c>
      <c r="R37" s="14">
        <f>M37</f>
        <v>0</v>
      </c>
      <c r="S37" s="25"/>
      <c r="T37" s="8"/>
      <c r="U37" s="8"/>
      <c r="V37" s="8"/>
      <c r="W37" s="8"/>
    </row>
    <row r="38" spans="1:23" ht="38.25" x14ac:dyDescent="0.2">
      <c r="A38" s="27" t="s">
        <v>72</v>
      </c>
      <c r="B38" s="12" t="s">
        <v>35</v>
      </c>
      <c r="C38" s="27" t="s">
        <v>42</v>
      </c>
      <c r="D38" s="11" t="s">
        <v>81</v>
      </c>
      <c r="E38" s="16">
        <v>21</v>
      </c>
      <c r="F38" s="16">
        <v>24</v>
      </c>
      <c r="G38" s="16">
        <v>2</v>
      </c>
      <c r="H38" s="13">
        <f>21500*F38</f>
        <v>516000</v>
      </c>
      <c r="I38" s="13">
        <f t="shared" ref="I38" si="12">H38</f>
        <v>516000</v>
      </c>
      <c r="J38" s="13">
        <f>H38-I38</f>
        <v>0</v>
      </c>
      <c r="K38" s="13">
        <f>21500*G38</f>
        <v>43000</v>
      </c>
      <c r="L38" s="13">
        <f>9034.814*F38</f>
        <v>216835.53600000002</v>
      </c>
      <c r="M38" s="13">
        <v>0</v>
      </c>
      <c r="N38" s="13">
        <f t="shared" si="8"/>
        <v>1791.6666666666667</v>
      </c>
      <c r="O38" s="13">
        <f>K38</f>
        <v>43000</v>
      </c>
      <c r="P38" s="13">
        <f t="shared" si="9"/>
        <v>903.48140000000012</v>
      </c>
      <c r="Q38" s="13">
        <f>P38*F38</f>
        <v>21683.553600000003</v>
      </c>
      <c r="R38" s="14">
        <f>M38</f>
        <v>0</v>
      </c>
      <c r="S38" s="25"/>
      <c r="T38" s="8"/>
      <c r="U38" s="8"/>
      <c r="V38" s="8"/>
      <c r="W38" s="8"/>
    </row>
    <row r="39" spans="1:23" x14ac:dyDescent="0.2">
      <c r="A39" s="9"/>
      <c r="B39" s="7" t="s">
        <v>45</v>
      </c>
      <c r="C39" s="7"/>
      <c r="D39" s="7"/>
      <c r="E39" s="17"/>
      <c r="F39" s="17">
        <f>F31+F34+F35+F32+F36+F37+F38+F33</f>
        <v>95</v>
      </c>
      <c r="G39" s="17"/>
      <c r="H39" s="18">
        <f t="shared" ref="H39:R39" si="13">SUM(H31:H38)</f>
        <v>2023405</v>
      </c>
      <c r="I39" s="18">
        <f t="shared" si="13"/>
        <v>2023405</v>
      </c>
      <c r="J39" s="18">
        <f t="shared" si="13"/>
        <v>0</v>
      </c>
      <c r="K39" s="18">
        <f t="shared" si="13"/>
        <v>92850</v>
      </c>
      <c r="L39" s="18">
        <f t="shared" si="13"/>
        <v>649447.85600000003</v>
      </c>
      <c r="M39" s="18">
        <f t="shared" si="13"/>
        <v>13616</v>
      </c>
      <c r="N39" s="18">
        <f t="shared" si="13"/>
        <v>5945.8333333333339</v>
      </c>
      <c r="O39" s="18">
        <f t="shared" si="13"/>
        <v>92850</v>
      </c>
      <c r="P39" s="18">
        <f t="shared" si="13"/>
        <v>4693.923476923077</v>
      </c>
      <c r="Q39" s="18">
        <f t="shared" si="13"/>
        <v>64944.785600000003</v>
      </c>
      <c r="R39" s="18">
        <f t="shared" si="13"/>
        <v>13616</v>
      </c>
      <c r="S39" s="24"/>
    </row>
    <row r="40" spans="1:23" x14ac:dyDescent="0.2">
      <c r="A40" s="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4"/>
    </row>
    <row r="41" spans="1:23" x14ac:dyDescent="0.2">
      <c r="A41" s="20"/>
      <c r="B41" s="21" t="s">
        <v>46</v>
      </c>
      <c r="C41" s="21"/>
      <c r="D41" s="21"/>
      <c r="E41" s="21"/>
      <c r="F41" s="22">
        <f>F30+F39</f>
        <v>304</v>
      </c>
      <c r="G41" s="21"/>
      <c r="H41" s="23">
        <f t="shared" ref="H41:R41" si="14">H30+H39</f>
        <v>4780085</v>
      </c>
      <c r="I41" s="23">
        <f t="shared" si="14"/>
        <v>4351850</v>
      </c>
      <c r="J41" s="23">
        <f t="shared" si="14"/>
        <v>377687.58</v>
      </c>
      <c r="K41" s="23">
        <f t="shared" si="14"/>
        <v>242150</v>
      </c>
      <c r="L41" s="23">
        <f t="shared" si="14"/>
        <v>1452333.4160000002</v>
      </c>
      <c r="M41" s="23">
        <f t="shared" si="14"/>
        <v>105988.05</v>
      </c>
      <c r="N41" s="23">
        <f t="shared" si="14"/>
        <v>6265.2375000000002</v>
      </c>
      <c r="O41" s="23">
        <f t="shared" si="14"/>
        <v>96682.85</v>
      </c>
      <c r="P41" s="23">
        <f t="shared" si="14"/>
        <v>104668.04860512821</v>
      </c>
      <c r="Q41" s="23">
        <f t="shared" si="14"/>
        <v>1413133.5255999998</v>
      </c>
      <c r="R41" s="23">
        <f t="shared" si="14"/>
        <v>83839.600000000006</v>
      </c>
      <c r="S41" s="24"/>
    </row>
    <row r="42" spans="1:23" x14ac:dyDescent="0.2">
      <c r="A42" s="26"/>
      <c r="O42" s="10"/>
    </row>
    <row r="43" spans="1:23" x14ac:dyDescent="0.2">
      <c r="O43" s="10"/>
    </row>
  </sheetData>
  <mergeCells count="30">
    <mergeCell ref="O10:O11"/>
    <mergeCell ref="P10:P11"/>
    <mergeCell ref="Q10:Q11"/>
    <mergeCell ref="A6:R6"/>
    <mergeCell ref="O1:R1"/>
    <mergeCell ref="O2:R2"/>
    <mergeCell ref="O3:R3"/>
    <mergeCell ref="O4:R4"/>
    <mergeCell ref="O5:S5"/>
    <mergeCell ref="S10:S11"/>
    <mergeCell ref="N8:O9"/>
    <mergeCell ref="P8:Q9"/>
    <mergeCell ref="R8:R11"/>
    <mergeCell ref="F9:F11"/>
    <mergeCell ref="L10:L11"/>
    <mergeCell ref="F8:G8"/>
    <mergeCell ref="N10:N11"/>
    <mergeCell ref="A8:A11"/>
    <mergeCell ref="B8:B11"/>
    <mergeCell ref="C8:C11"/>
    <mergeCell ref="D8:D11"/>
    <mergeCell ref="E8:E11"/>
    <mergeCell ref="H8:K9"/>
    <mergeCell ref="L8:M9"/>
    <mergeCell ref="G9:G11"/>
    <mergeCell ref="H10:H11"/>
    <mergeCell ref="I10:I11"/>
    <mergeCell ref="J10:J11"/>
    <mergeCell ref="K10:K11"/>
    <mergeCell ref="M10:M11"/>
  </mergeCells>
  <pageMargins left="0.7" right="0.7" top="0.75" bottom="0.75" header="0.3" footer="0.3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путевки</vt:lpstr>
      <vt:lpstr>путевки!Область_печати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2016-09-28T08:47:19Z</dcterms:modified>
</cp:coreProperties>
</file>