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</sheets>
  <definedNames>
    <definedName name="_xlnm.Print_Area" localSheetId="0">Лист1!$A$1:$I$324</definedName>
  </definedNames>
  <calcPr calcId="152511"/>
</workbook>
</file>

<file path=xl/calcChain.xml><?xml version="1.0" encoding="utf-8"?>
<calcChain xmlns="http://schemas.openxmlformats.org/spreadsheetml/2006/main">
  <c r="H241" i="1" l="1"/>
  <c r="H324" i="1" l="1"/>
  <c r="H245" i="1"/>
  <c r="H244" i="1"/>
  <c r="H98" i="1"/>
  <c r="H19" i="1"/>
  <c r="H130" i="1"/>
  <c r="H129" i="1"/>
  <c r="H128" i="1"/>
  <c r="H101" i="1"/>
  <c r="H31" i="1"/>
  <c r="H30" i="1"/>
  <c r="H22" i="1"/>
  <c r="H125" i="1" l="1"/>
  <c r="H34" i="1"/>
  <c r="H249" i="1" l="1"/>
  <c r="H248" i="1"/>
  <c r="H117" i="1"/>
  <c r="H118" i="1"/>
  <c r="H114" i="1" l="1"/>
  <c r="H113" i="1"/>
  <c r="H27" i="1"/>
  <c r="H26" i="1"/>
  <c r="F91" i="1" l="1"/>
  <c r="G91" i="1"/>
  <c r="H91" i="1"/>
  <c r="I91" i="1"/>
  <c r="F92" i="1"/>
  <c r="G92" i="1"/>
  <c r="H92" i="1"/>
  <c r="I92" i="1"/>
  <c r="F93" i="1"/>
  <c r="G93" i="1"/>
  <c r="H93" i="1"/>
  <c r="I93" i="1"/>
  <c r="E93" i="1"/>
  <c r="E92" i="1"/>
  <c r="E91" i="1"/>
  <c r="I107" i="1"/>
  <c r="H107" i="1"/>
  <c r="G107" i="1"/>
  <c r="F107" i="1"/>
  <c r="E107" i="1"/>
  <c r="H104" i="1"/>
  <c r="E90" i="1" l="1"/>
  <c r="H163" i="1" l="1"/>
  <c r="H48" i="1"/>
  <c r="H167" i="1" l="1"/>
  <c r="H208" i="1"/>
  <c r="I205" i="1" l="1"/>
  <c r="H205" i="1"/>
  <c r="G205" i="1"/>
  <c r="F205" i="1"/>
  <c r="E205" i="1"/>
  <c r="H298" i="1"/>
  <c r="H297" i="1"/>
  <c r="H151" i="1" l="1"/>
  <c r="H150" i="1"/>
  <c r="H64" i="1"/>
  <c r="H63" i="1"/>
  <c r="I121" i="1" l="1"/>
  <c r="I120" i="1"/>
  <c r="H121" i="1"/>
  <c r="H120" i="1"/>
  <c r="I294" i="1" l="1"/>
  <c r="H294" i="1"/>
  <c r="I293" i="1"/>
  <c r="H293" i="1"/>
  <c r="H149" i="1"/>
  <c r="H174" i="1"/>
  <c r="H175" i="1"/>
  <c r="I151" i="1"/>
  <c r="I150" i="1"/>
  <c r="I104" i="1"/>
  <c r="I101" i="1"/>
  <c r="I98" i="1"/>
  <c r="I34" i="1"/>
  <c r="I31" i="1"/>
  <c r="I30" i="1"/>
  <c r="I27" i="1"/>
  <c r="I26" i="1"/>
  <c r="I22" i="1"/>
  <c r="I19" i="1"/>
  <c r="G324" i="1" l="1"/>
  <c r="G241" i="1"/>
  <c r="G98" i="1"/>
  <c r="G19" i="1" l="1"/>
  <c r="G101" i="1" l="1"/>
  <c r="G245" i="1" l="1"/>
  <c r="G244" i="1"/>
  <c r="G125" i="1" l="1"/>
  <c r="G34" i="1"/>
  <c r="G22" i="1" l="1"/>
  <c r="G249" i="1" l="1"/>
  <c r="G248" i="1"/>
  <c r="G118" i="1"/>
  <c r="G117" i="1"/>
  <c r="G31" i="1"/>
  <c r="G30" i="1"/>
  <c r="G302" i="1" l="1"/>
  <c r="F210" i="1"/>
  <c r="G210" i="1"/>
  <c r="H210" i="1"/>
  <c r="I210" i="1"/>
  <c r="F211" i="1"/>
  <c r="G211" i="1"/>
  <c r="H211" i="1"/>
  <c r="I211" i="1"/>
  <c r="F212" i="1"/>
  <c r="G212" i="1"/>
  <c r="H212" i="1"/>
  <c r="I212" i="1"/>
  <c r="E212" i="1"/>
  <c r="E211" i="1"/>
  <c r="E210" i="1"/>
  <c r="I246" i="1"/>
  <c r="H246" i="1"/>
  <c r="G246" i="1"/>
  <c r="F246" i="1"/>
  <c r="E246" i="1"/>
  <c r="G135" i="1"/>
  <c r="I119" i="1"/>
  <c r="H119" i="1"/>
  <c r="G119" i="1"/>
  <c r="F119" i="1"/>
  <c r="E119" i="1"/>
  <c r="F115" i="1"/>
  <c r="G115" i="1"/>
  <c r="I115" i="1"/>
  <c r="H115" i="1"/>
  <c r="E115" i="1"/>
  <c r="G68" i="1"/>
  <c r="F12" i="1"/>
  <c r="G12" i="1"/>
  <c r="H12" i="1"/>
  <c r="I12" i="1"/>
  <c r="F13" i="1"/>
  <c r="G13" i="1"/>
  <c r="H13" i="1"/>
  <c r="I13" i="1"/>
  <c r="F14" i="1"/>
  <c r="G14" i="1"/>
  <c r="H14" i="1"/>
  <c r="I14" i="1"/>
  <c r="E14" i="1"/>
  <c r="E13" i="1"/>
  <c r="E12" i="1"/>
  <c r="E28" i="1"/>
  <c r="I28" i="1"/>
  <c r="H28" i="1"/>
  <c r="G28" i="1"/>
  <c r="F28" i="1"/>
  <c r="G64" i="1" l="1"/>
  <c r="G195" i="1" l="1"/>
  <c r="G151" i="1" l="1"/>
  <c r="G298" i="1" l="1"/>
  <c r="G297" i="1"/>
  <c r="G129" i="1" l="1"/>
  <c r="G128" i="1"/>
  <c r="F130" i="1" l="1"/>
  <c r="F129" i="1"/>
  <c r="F128" i="1"/>
  <c r="F98" i="1"/>
  <c r="F114" i="1" l="1"/>
  <c r="F113" i="1"/>
  <c r="H304" i="1" l="1"/>
  <c r="H303" i="1" s="1"/>
  <c r="I304" i="1"/>
  <c r="I303" i="1" s="1"/>
  <c r="H305" i="1"/>
  <c r="I305" i="1"/>
  <c r="H306" i="1"/>
  <c r="I306" i="1"/>
  <c r="I317" i="1"/>
  <c r="I318" i="1"/>
  <c r="I319" i="1"/>
  <c r="I285" i="1"/>
  <c r="G290" i="1"/>
  <c r="I284" i="1"/>
  <c r="G293" i="1"/>
  <c r="G294" i="1"/>
  <c r="G183" i="1"/>
  <c r="G179" i="1"/>
  <c r="G174" i="1"/>
  <c r="G130" i="1"/>
  <c r="G104" i="1"/>
  <c r="G150" i="1"/>
  <c r="G114" i="1"/>
  <c r="G113" i="1"/>
  <c r="G63" i="1"/>
  <c r="G27" i="1"/>
  <c r="G26" i="1"/>
  <c r="F324" i="1"/>
  <c r="F241" i="1"/>
  <c r="F195" i="1"/>
  <c r="F135" i="1"/>
  <c r="F101" i="1"/>
  <c r="F34" i="1"/>
  <c r="F22" i="1"/>
  <c r="F19" i="1"/>
  <c r="I209" i="1" l="1"/>
  <c r="G175" i="1"/>
  <c r="I90" i="1"/>
  <c r="I10" i="1"/>
  <c r="I11" i="1"/>
  <c r="I8" i="1"/>
  <c r="I9" i="1" l="1"/>
  <c r="I7" i="1" s="1"/>
  <c r="F302" i="1"/>
  <c r="I278" i="1" l="1"/>
  <c r="H278" i="1"/>
  <c r="G278" i="1"/>
  <c r="F278" i="1"/>
  <c r="E278" i="1"/>
  <c r="F151" i="1" l="1"/>
  <c r="F64" i="1"/>
  <c r="F150" i="1"/>
  <c r="F63" i="1"/>
  <c r="F245" i="1"/>
  <c r="F244" i="1"/>
  <c r="I192" i="1" l="1"/>
  <c r="H192" i="1"/>
  <c r="G192" i="1"/>
  <c r="F192" i="1"/>
  <c r="E192" i="1"/>
  <c r="F143" i="1"/>
  <c r="F60" i="1"/>
  <c r="F40" i="1"/>
  <c r="I270" i="1" l="1"/>
  <c r="H270" i="1"/>
  <c r="G270" i="1"/>
  <c r="F270" i="1"/>
  <c r="E270" i="1"/>
  <c r="F298" i="1" l="1"/>
  <c r="F297" i="1"/>
  <c r="I140" i="1" l="1"/>
  <c r="H140" i="1"/>
  <c r="G140" i="1"/>
  <c r="F140" i="1"/>
  <c r="E140" i="1"/>
  <c r="E114" i="1" l="1"/>
  <c r="E125" i="1" l="1"/>
  <c r="E34" i="1"/>
  <c r="H317" i="1" l="1"/>
  <c r="H318" i="1"/>
  <c r="H319" i="1"/>
  <c r="H283" i="1"/>
  <c r="F293" i="1"/>
  <c r="H284" i="1"/>
  <c r="F294" i="1"/>
  <c r="H285" i="1"/>
  <c r="E236" i="1"/>
  <c r="E241" i="1"/>
  <c r="F174" i="1"/>
  <c r="F175" i="1"/>
  <c r="E151" i="1"/>
  <c r="E150" i="1"/>
  <c r="H8" i="1" l="1"/>
  <c r="H9" i="1"/>
  <c r="H10" i="1"/>
  <c r="I37" i="1"/>
  <c r="H37" i="1"/>
  <c r="G37" i="1"/>
  <c r="F37" i="1"/>
  <c r="E37" i="1"/>
  <c r="E101" i="1"/>
  <c r="E22" i="1"/>
  <c r="E290" i="1"/>
  <c r="E98" i="1"/>
  <c r="E19" i="1"/>
  <c r="E113" i="1" l="1"/>
  <c r="E26" i="1"/>
  <c r="E27" i="1" l="1"/>
  <c r="E302" i="1"/>
  <c r="E135" i="1"/>
  <c r="E324" i="1" l="1"/>
  <c r="E64" i="1" l="1"/>
  <c r="E48" i="1"/>
  <c r="E298" i="1" l="1"/>
  <c r="E297" i="1"/>
  <c r="E183" i="1" l="1"/>
  <c r="E175" i="1" s="1"/>
  <c r="E174" i="1"/>
  <c r="F283" i="1" l="1"/>
  <c r="G283" i="1"/>
  <c r="E283" i="1"/>
  <c r="F284" i="1"/>
  <c r="G284" i="1"/>
  <c r="F285" i="1"/>
  <c r="G285" i="1"/>
  <c r="E294" i="1"/>
  <c r="E285" i="1" s="1"/>
  <c r="E293" i="1"/>
  <c r="E284" i="1" s="1"/>
  <c r="I295" i="1"/>
  <c r="H295" i="1"/>
  <c r="G295" i="1"/>
  <c r="F295" i="1"/>
  <c r="E295" i="1"/>
  <c r="I287" i="1"/>
  <c r="H287" i="1"/>
  <c r="G287" i="1"/>
  <c r="F287" i="1"/>
  <c r="E287" i="1"/>
  <c r="I218" i="1"/>
  <c r="H218" i="1"/>
  <c r="G218" i="1"/>
  <c r="F218" i="1"/>
  <c r="E218" i="1"/>
  <c r="I180" i="1"/>
  <c r="H180" i="1"/>
  <c r="G180" i="1"/>
  <c r="F180" i="1"/>
  <c r="E180" i="1"/>
  <c r="I176" i="1"/>
  <c r="H176" i="1"/>
  <c r="G176" i="1"/>
  <c r="F176" i="1"/>
  <c r="E176" i="1"/>
  <c r="I274" i="1" l="1"/>
  <c r="H274" i="1"/>
  <c r="G274" i="1"/>
  <c r="F274" i="1"/>
  <c r="E274" i="1"/>
  <c r="F304" i="1"/>
  <c r="G304" i="1"/>
  <c r="F305" i="1"/>
  <c r="G305" i="1"/>
  <c r="F306" i="1"/>
  <c r="G306" i="1"/>
  <c r="E305" i="1"/>
  <c r="E306" i="1"/>
  <c r="E304" i="1"/>
  <c r="F317" i="1"/>
  <c r="G317" i="1"/>
  <c r="F318" i="1"/>
  <c r="G318" i="1"/>
  <c r="F319" i="1"/>
  <c r="G319" i="1"/>
  <c r="E319" i="1"/>
  <c r="E318" i="1"/>
  <c r="E317" i="1"/>
  <c r="I321" i="1"/>
  <c r="H321" i="1"/>
  <c r="G321" i="1"/>
  <c r="F321" i="1"/>
  <c r="E321" i="1"/>
  <c r="I316" i="1"/>
  <c r="H316" i="1"/>
  <c r="I312" i="1"/>
  <c r="H312" i="1"/>
  <c r="G312" i="1"/>
  <c r="F312" i="1"/>
  <c r="E312" i="1"/>
  <c r="I308" i="1"/>
  <c r="H308" i="1"/>
  <c r="G308" i="1"/>
  <c r="F308" i="1"/>
  <c r="E308" i="1"/>
  <c r="G316" i="1" l="1"/>
  <c r="F316" i="1"/>
  <c r="E316" i="1"/>
  <c r="E303" i="1"/>
  <c r="F303" i="1"/>
  <c r="G303" i="1"/>
  <c r="I266" i="1"/>
  <c r="H266" i="1"/>
  <c r="G266" i="1"/>
  <c r="F266" i="1"/>
  <c r="E266" i="1"/>
  <c r="I262" i="1"/>
  <c r="H262" i="1"/>
  <c r="G262" i="1"/>
  <c r="F262" i="1"/>
  <c r="E262" i="1"/>
  <c r="I258" i="1"/>
  <c r="H258" i="1"/>
  <c r="G258" i="1"/>
  <c r="F258" i="1"/>
  <c r="E258" i="1"/>
  <c r="I254" i="1"/>
  <c r="H254" i="1"/>
  <c r="G254" i="1"/>
  <c r="F254" i="1"/>
  <c r="E254" i="1"/>
  <c r="I250" i="1"/>
  <c r="H250" i="1"/>
  <c r="G250" i="1"/>
  <c r="F250" i="1"/>
  <c r="E250" i="1"/>
  <c r="I242" i="1"/>
  <c r="H242" i="1"/>
  <c r="G242" i="1"/>
  <c r="F242" i="1"/>
  <c r="E242" i="1"/>
  <c r="I238" i="1"/>
  <c r="H238" i="1"/>
  <c r="G238" i="1"/>
  <c r="F238" i="1"/>
  <c r="E238" i="1"/>
  <c r="I233" i="1"/>
  <c r="H233" i="1"/>
  <c r="G233" i="1"/>
  <c r="F233" i="1"/>
  <c r="E233" i="1"/>
  <c r="I228" i="1"/>
  <c r="H228" i="1"/>
  <c r="G228" i="1"/>
  <c r="F228" i="1"/>
  <c r="E228" i="1"/>
  <c r="I223" i="1"/>
  <c r="H223" i="1"/>
  <c r="G223" i="1"/>
  <c r="F223" i="1"/>
  <c r="E223" i="1"/>
  <c r="I299" i="1" l="1"/>
  <c r="H299" i="1"/>
  <c r="G299" i="1"/>
  <c r="F299" i="1"/>
  <c r="E299" i="1"/>
  <c r="I291" i="1"/>
  <c r="H291" i="1"/>
  <c r="G291" i="1"/>
  <c r="F291" i="1"/>
  <c r="E291" i="1"/>
  <c r="I282" i="1"/>
  <c r="H282" i="1"/>
  <c r="G282" i="1" l="1"/>
  <c r="E282" i="1"/>
  <c r="F282" i="1"/>
  <c r="I214" i="1"/>
  <c r="H214" i="1"/>
  <c r="G214" i="1"/>
  <c r="F214" i="1"/>
  <c r="E214" i="1"/>
  <c r="F209" i="1"/>
  <c r="H209" i="1"/>
  <c r="G209" i="1"/>
  <c r="E209" i="1"/>
  <c r="I172" i="1"/>
  <c r="H172" i="1"/>
  <c r="G172" i="1"/>
  <c r="F172" i="1"/>
  <c r="E172" i="1"/>
  <c r="I168" i="1"/>
  <c r="H168" i="1"/>
  <c r="G168" i="1"/>
  <c r="F168" i="1"/>
  <c r="E168" i="1"/>
  <c r="I164" i="1"/>
  <c r="H164" i="1"/>
  <c r="G164" i="1"/>
  <c r="F164" i="1"/>
  <c r="E164" i="1"/>
  <c r="I160" i="1"/>
  <c r="H160" i="1"/>
  <c r="G160" i="1"/>
  <c r="F160" i="1"/>
  <c r="E160" i="1"/>
  <c r="I127" i="1"/>
  <c r="H127" i="1"/>
  <c r="G127" i="1"/>
  <c r="F127" i="1"/>
  <c r="E127" i="1"/>
  <c r="I103" i="1"/>
  <c r="H103" i="1"/>
  <c r="G103" i="1"/>
  <c r="F103" i="1"/>
  <c r="E103" i="1"/>
  <c r="I201" i="1"/>
  <c r="H201" i="1"/>
  <c r="G201" i="1"/>
  <c r="F201" i="1"/>
  <c r="E201" i="1"/>
  <c r="I197" i="1"/>
  <c r="H197" i="1"/>
  <c r="G197" i="1"/>
  <c r="F197" i="1"/>
  <c r="E197" i="1"/>
  <c r="I188" i="1"/>
  <c r="H188" i="1"/>
  <c r="G188" i="1"/>
  <c r="F188" i="1"/>
  <c r="E188" i="1"/>
  <c r="I184" i="1"/>
  <c r="H184" i="1"/>
  <c r="G184" i="1"/>
  <c r="F184" i="1"/>
  <c r="E184" i="1"/>
  <c r="I156" i="1"/>
  <c r="H156" i="1"/>
  <c r="G156" i="1"/>
  <c r="F156" i="1"/>
  <c r="E156" i="1"/>
  <c r="I152" i="1"/>
  <c r="H152" i="1"/>
  <c r="G152" i="1"/>
  <c r="F152" i="1"/>
  <c r="E152" i="1"/>
  <c r="I148" i="1"/>
  <c r="H148" i="1"/>
  <c r="G148" i="1"/>
  <c r="F148" i="1"/>
  <c r="E148" i="1"/>
  <c r="I144" i="1"/>
  <c r="H144" i="1"/>
  <c r="G144" i="1"/>
  <c r="F144" i="1"/>
  <c r="E144" i="1"/>
  <c r="I136" i="1"/>
  <c r="H136" i="1"/>
  <c r="G136" i="1"/>
  <c r="F136" i="1"/>
  <c r="E136" i="1"/>
  <c r="I132" i="1"/>
  <c r="H132" i="1"/>
  <c r="G132" i="1"/>
  <c r="F132" i="1"/>
  <c r="E132" i="1"/>
  <c r="I123" i="1"/>
  <c r="H123" i="1"/>
  <c r="G123" i="1"/>
  <c r="F123" i="1"/>
  <c r="E123" i="1"/>
  <c r="I111" i="1"/>
  <c r="H111" i="1"/>
  <c r="G111" i="1"/>
  <c r="F111" i="1"/>
  <c r="E111" i="1"/>
  <c r="I99" i="1"/>
  <c r="H99" i="1"/>
  <c r="G99" i="1"/>
  <c r="F99" i="1"/>
  <c r="E99" i="1"/>
  <c r="I95" i="1"/>
  <c r="H95" i="1"/>
  <c r="G95" i="1"/>
  <c r="F95" i="1"/>
  <c r="E95" i="1"/>
  <c r="H90" i="1"/>
  <c r="G90" i="1" l="1"/>
  <c r="F90" i="1"/>
  <c r="H7" i="1"/>
  <c r="F8" i="1" l="1"/>
  <c r="G8" i="1"/>
  <c r="F9" i="1"/>
  <c r="G9" i="1"/>
  <c r="F10" i="1"/>
  <c r="G10" i="1"/>
  <c r="E10" i="1"/>
  <c r="E9" i="1"/>
  <c r="E8" i="1"/>
  <c r="H11" i="1"/>
  <c r="I86" i="1"/>
  <c r="H86" i="1"/>
  <c r="G86" i="1"/>
  <c r="F86" i="1"/>
  <c r="E86" i="1"/>
  <c r="I82" i="1"/>
  <c r="H82" i="1"/>
  <c r="G82" i="1"/>
  <c r="F82" i="1"/>
  <c r="E82" i="1"/>
  <c r="I77" i="1"/>
  <c r="H77" i="1"/>
  <c r="G77" i="1"/>
  <c r="F77" i="1"/>
  <c r="E77" i="1"/>
  <c r="I73" i="1"/>
  <c r="H73" i="1"/>
  <c r="G73" i="1"/>
  <c r="F73" i="1"/>
  <c r="E73" i="1"/>
  <c r="I69" i="1"/>
  <c r="H69" i="1"/>
  <c r="G69" i="1"/>
  <c r="F69" i="1"/>
  <c r="E69" i="1"/>
  <c r="I65" i="1"/>
  <c r="H65" i="1"/>
  <c r="G65" i="1"/>
  <c r="F65" i="1"/>
  <c r="E65" i="1"/>
  <c r="I61" i="1"/>
  <c r="H61" i="1"/>
  <c r="G61" i="1"/>
  <c r="F61" i="1"/>
  <c r="E61" i="1"/>
  <c r="I57" i="1"/>
  <c r="H57" i="1"/>
  <c r="G57" i="1"/>
  <c r="F57" i="1"/>
  <c r="E57" i="1"/>
  <c r="I53" i="1"/>
  <c r="H53" i="1"/>
  <c r="G53" i="1"/>
  <c r="F53" i="1"/>
  <c r="E53" i="1"/>
  <c r="I49" i="1"/>
  <c r="H49" i="1"/>
  <c r="G49" i="1"/>
  <c r="F49" i="1"/>
  <c r="E49" i="1"/>
  <c r="I45" i="1"/>
  <c r="H45" i="1"/>
  <c r="G45" i="1"/>
  <c r="F45" i="1"/>
  <c r="E45" i="1"/>
  <c r="I41" i="1"/>
  <c r="H41" i="1"/>
  <c r="G41" i="1"/>
  <c r="F41" i="1"/>
  <c r="E41" i="1"/>
  <c r="E7" i="1" l="1"/>
  <c r="F7" i="1"/>
  <c r="G7" i="1"/>
  <c r="F11" i="1"/>
  <c r="E11" i="1"/>
  <c r="G11" i="1"/>
  <c r="I32" i="1"/>
  <c r="H32" i="1"/>
  <c r="G32" i="1"/>
  <c r="F32" i="1"/>
  <c r="E32" i="1"/>
  <c r="I24" i="1"/>
  <c r="H24" i="1"/>
  <c r="G24" i="1"/>
  <c r="F24" i="1"/>
  <c r="E24" i="1"/>
  <c r="I20" i="1"/>
  <c r="H20" i="1"/>
  <c r="G20" i="1"/>
  <c r="F20" i="1"/>
  <c r="E20" i="1"/>
  <c r="F16" i="1"/>
  <c r="G16" i="1"/>
  <c r="H16" i="1"/>
  <c r="I16" i="1"/>
  <c r="E16" i="1"/>
</calcChain>
</file>

<file path=xl/sharedStrings.xml><?xml version="1.0" encoding="utf-8"?>
<sst xmlns="http://schemas.openxmlformats.org/spreadsheetml/2006/main" count="487" uniqueCount="111">
  <si>
    <t>Статус</t>
  </si>
  <si>
    <t>Наименование муниципальной программы, основного мероприятия</t>
  </si>
  <si>
    <t>Муниципальная программа</t>
  </si>
  <si>
    <t>Развитие образования в Княжпогостском районе</t>
  </si>
  <si>
    <t>Подпрограмма 1</t>
  </si>
  <si>
    <t>Развитие системы дошкольного образования в Княжпогостском районе</t>
  </si>
  <si>
    <t>Источник финансирования</t>
  </si>
  <si>
    <t>федеральный бюджет</t>
  </si>
  <si>
    <t>Ресурсное обеспечение и прогнозная (справочная) оценка расходов средств на реализацию целей муниципальной программы «Развитие образования в Княжпогостском районе»</t>
  </si>
  <si>
    <t>Расходы (рублей)</t>
  </si>
  <si>
    <t>Всего</t>
  </si>
  <si>
    <t>республиканский бюджет</t>
  </si>
  <si>
    <t>муниципальный бюджет</t>
  </si>
  <si>
    <t>всего</t>
  </si>
  <si>
    <t>1.1.2. Реализация муниципальными дошкольными и общеобразовательными организациями в Республике Коми образовательных программ</t>
  </si>
  <si>
    <t>1.3.1. Развитие кадровых ресурсов системы дошкольного образования (организация и проведение районного конкурса "Воспитатель года")</t>
  </si>
  <si>
    <t>Задача 1.1 "Обеспечение государственных гарантий доступности дошкольного образования"</t>
  </si>
  <si>
    <t>Развитие инновационного потенциала педагогов дошкольного образования и дошкольных образовательных организаций (организация и проведение районного конкурса «Лучший детский сад года»)</t>
  </si>
  <si>
    <t>Подпрограмма 2</t>
  </si>
  <si>
    <t>Развитие системы общего образования в Княжпогостском районе</t>
  </si>
  <si>
    <t>Задача 1.1 "Обеспечение государственных гарантий доступности общего образования"</t>
  </si>
  <si>
    <t>1.1.3. Ежемесячное денежное вознаграждение за классное руководство педагогическим работникам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</si>
  <si>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1.1.5.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</si>
  <si>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1.2.1. Предоставление доступа к сети Интернет</t>
  </si>
  <si>
    <t>1.2.2. Укрепление материально-технической базы в общеобразовательных организациях</t>
  </si>
  <si>
    <t>1.2.12. Исполнение судебных решений</t>
  </si>
  <si>
    <t>1.2.13. Реализация отдельных мероприятий регионального проекта «Современная школа»</t>
  </si>
  <si>
    <t>1.3.1. Развитие кадровых ресурсов системы общего образования (организация и проведение районных конкурсов: «Учитель года», конкурса классных руководителей, Дня учителя)</t>
  </si>
  <si>
    <t>1.3.2. Развитие инновационного потенциала педагогов общеобразовательных организаций (организация и проведение районного конкурса «Школа года», районной конференции педагогов «Путь к мастерству»)</t>
  </si>
  <si>
    <t>Подпрограмма 3</t>
  </si>
  <si>
    <t>Дети и молодежь Княжпогостского района</t>
  </si>
  <si>
    <t>Подпрограмма 4</t>
  </si>
  <si>
    <t>Организация отдыха и оздоровления детей в Княжпогостском районе</t>
  </si>
  <si>
    <t>Задача 1.1 "Организация отдыха и оздоровления детей Княжпогостского района"</t>
  </si>
  <si>
    <t>Задача 1.1 «Содействие молодым людям в проявлении своей активности в общественной жизни и освоении навыков самоорганизации, воспитание у молодежи чувства патриотизма и гражданской ответственности»</t>
  </si>
  <si>
    <t>Задача 1.2 «Формирование здорового образа жизни»</t>
  </si>
  <si>
    <t>Задача 1.3 «Выявление и поддержка талантливой молодежи»</t>
  </si>
  <si>
    <t>1.3.1. Выявление и поддержка одаренных детей и молодежи</t>
  </si>
  <si>
    <t>Задача 1.4 «Поддержка молодых семей»</t>
  </si>
  <si>
    <t>1.4.1. Предоставление социальных выплат молодым семьям на приобретение жилого помещения или создание объекта индивидуального жилищного строительства</t>
  </si>
  <si>
    <t>Задача 1.5 «Повышение качества дополнительного образования»</t>
  </si>
  <si>
    <t>1.5.1. Выполнение планового объёма оказываемых услуг, установленного муниципальным заданием</t>
  </si>
  <si>
    <t>Подпрограмма 5</t>
  </si>
  <si>
    <t>Допризывная подготовка граждан Российской Федерации в Княжпогостском районе к военной службе</t>
  </si>
  <si>
    <t>Задача 1.1 «Получение гражданами Российской Федерации начальных знаний в области обороны и подготовка по основам военной службы в образовательных организациях Княжпогостского района»</t>
  </si>
  <si>
    <t>1.1.3. Организация оздоровления и отдыха детей на базе выездных оздоровительных лагерей</t>
  </si>
  <si>
    <t>1.1.1. Военно-патриотическое воспитание молодёжи допризывного возраста</t>
  </si>
  <si>
    <t>1.1.2. Проведение спортивно-массовых мероприятий для молодёжи допризывного возраста</t>
  </si>
  <si>
    <t>Подпрограмма 6</t>
  </si>
  <si>
    <t>Обеспечение условий для реализации муниципальной программы «Развитие образования в Княжпогостском районе</t>
  </si>
  <si>
    <t>Задача 1.1 «Обеспечение управления реализацией мероприятий Программы на муниципальном уровне»</t>
  </si>
  <si>
    <t>1.1.1. Обеспечение управления реализацией мероприятий Программы на муниципальном уровне</t>
  </si>
  <si>
    <t>1.1.1. Выполнение планового объема оказываемых услуг, установленного муниципальным заданием</t>
  </si>
  <si>
    <t>1.1.1. Проведение районных мероприятий</t>
  </si>
  <si>
    <t>1.2.1. Пропаганда здорового образа жизни</t>
  </si>
  <si>
    <t>1.1.2. Профилактика экстремизма и терроризма, предупреждения межнациональных (межэтнических) конфликтов у несовершеннолетних</t>
  </si>
  <si>
    <t>1.1.1. Обеспечение деятельности лагерей с дневным пребыванием</t>
  </si>
  <si>
    <t>2.1</t>
  </si>
  <si>
    <t>1.1.2. Мероприятия по проведению оздоровительной кампании детей</t>
  </si>
  <si>
    <t>1.1.2.1. Осуществление процесса оздоровления и отдыха детей</t>
  </si>
  <si>
    <t>Таблица 3</t>
  </si>
  <si>
    <t>Ответственные исполнители, соисполнители</t>
  </si>
  <si>
    <t>управление образования АМР "Княжпогостский"</t>
  </si>
  <si>
    <t>1.5.2. Мероприятия, связанные с повышением оплаты труда отдельных категорий работников в сфере образования</t>
  </si>
  <si>
    <t>1.2.1. Мероприятия по благоустройству территорий образовательных учреждений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</si>
  <si>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1.2.2. Проведение капитальных ремонтов в дошкольных образовательных организациях</t>
  </si>
  <si>
    <t>1.2.3. Проведение текущих ремонтов в дошкольных образовательных организациях</t>
  </si>
  <si>
    <t>1.2.4. Проведение текущих ремонтов в дошкольных образовательных организациях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</si>
  <si>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1.2.5. Выполнение противопожарных мероприятий в дошкольных образовательных организациях</t>
  </si>
  <si>
    <t>1.2.6. Укрепление материально-технической базы в дошкольных образовательных организациях</t>
  </si>
  <si>
    <t>1.2.7. Укрепление материально-технической базы и создание безопасных условий в организациях в сфере образования в Республике Коми</t>
  </si>
  <si>
    <t>1.2.8. Предоставление доступа к сети Интернет в дошкольных образовательных организациях</t>
  </si>
  <si>
    <t>1.2.9. Исполнение штрафных санкций надзорных и контролирующих органов в дошкольных организациях в дошкольных образовательных организациях</t>
  </si>
  <si>
    <t>1.2.10. Исполнение судебных решений в дошкольных образовательных организациях</t>
  </si>
  <si>
    <t>1.2.11. Реализация народных проектов в сфере образования, прошедших отбор в рамках проекта "Народный бюджет"</t>
  </si>
  <si>
    <t>1.2.3. Укрепление материально-технической базы и создание безопасных условий в организациях в сфере образования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самоуправления, а также на развитие народных инициатив</t>
  </si>
  <si>
    <t>1.2.4. Укрепление материально-технической базы организаций в сфере образования в Республике Коми</t>
  </si>
  <si>
    <t>1.2.5. Укрепление материально-технической базы и создание безопасных условий в организациях в сфере образования в Республике Коми</t>
  </si>
  <si>
    <t>1.2.6. Проведение капитальных ремонтов в общеобразовательных организациях</t>
  </si>
  <si>
    <t>1.2.7. Выполнение противопожарных мероприятий в общеобразовательных организациях</t>
  </si>
  <si>
    <t>1.2.8. Проведение текущих ремонтов в общеобразовательных организациях</t>
  </si>
  <si>
    <t>1.2.9. Развитие системы оценки качества образования (проведение районных олимпиад, проведение ГИА и ЕГЭ)</t>
  </si>
  <si>
    <t>1.2.10. Исполнение штрафных санкций надзорных и контролирующих органов в общеобразовательных организациях</t>
  </si>
  <si>
    <t>1.2.11. Реализация народных проектов в сфере образования, прошедших отбор в рамках проекта «Народный бюджет»</t>
  </si>
  <si>
    <t>1.2.11.1. Укрепление материально-технической базы организаций в сфере образования в Республике Коми</t>
  </si>
  <si>
    <t>1.2.11.2. Осуществление деятельности организациями в сфере образования</t>
  </si>
  <si>
    <t>1.2.14. Проведение ликвидационных мероприятий</t>
  </si>
  <si>
    <t>Задача 1.2 "Создание условий для повышения качества реализации образовательных программ дошкольного образования"</t>
  </si>
  <si>
    <t>Задача 1.3 "Создание условий для повышения эффективности системы дошкольного образования"</t>
  </si>
  <si>
    <t>Задача 1.2 "Создание условий для повышения качества реализации образовательных программ общего образования"</t>
  </si>
  <si>
    <t>Задача 1.3 "Создание условий для повышения эффективности системы общего образования"</t>
  </si>
  <si>
    <t>1.1.3. Мероприятия, связанные с повышением оплаты труда отдельных категорий работников в сфере образования</t>
  </si>
  <si>
    <t>1.1.4. Оплата муниципальными учреждениями расходов по коммунальным услугам</t>
  </si>
  <si>
    <t>19.1</t>
  </si>
  <si>
    <t>19.2</t>
  </si>
  <si>
    <t>1.5.3. Оплата муниципальными учреждениями расходов по коммунальным услугам</t>
  </si>
  <si>
    <t>1.5.4. Проведение капитальных ремонтов в организациях дополнительного образования детей</t>
  </si>
  <si>
    <t>1.5.5. Проведение текущих ремонтов в организациях дополнительного образования детей</t>
  </si>
  <si>
    <t>1.5.6. Выполнение противопожарных мероприятий в организациях дополнительного образования</t>
  </si>
  <si>
    <t>1.5.7. Укрепление материально- технической базы в организациях дополнительного образования</t>
  </si>
  <si>
    <t>1.5.8. Укрепление материально- технической базы и создание безопасных условий в организациях дополнительного образования</t>
  </si>
  <si>
    <t>1.5.9. Проведение текущих ремонтов в рамках выполнения расходных обязательств на развитие народных инициатив</t>
  </si>
  <si>
    <t>1.5.10. Реализация народных проектов в сфере образования, прошедших отбор в рамках проекта "Народный бюджет"</t>
  </si>
  <si>
    <t>1.5.11. Реализация мероприятий, направленных на исполнение наказов избирателей, рекомендуемых к выполнению в 2022 году (проведение текущих ремонтов)</t>
  </si>
  <si>
    <t>1.3.3. Проведение районных мероприятий (Президентские спортивные игры)</t>
  </si>
  <si>
    <t>1.1.4. Ежемесячное денежное вознаграждение советникам директоров по воспитанию и взаимодействию с детскими общественными объединениями общеобразовательных организаций и профессиональных образовательных организаций</t>
  </si>
  <si>
    <t>1.1.5. Мероприятия, связанные с повышением оплаты труда отдельных категорий работников в сфере образования</t>
  </si>
  <si>
    <t>1.1.6. Оплата муниципальными учреждениями расходов по коммунальным услугам</t>
  </si>
  <si>
    <t>1.1.7.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</si>
  <si>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1.1.8.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</si>
  <si>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 xml:space="preserve">1.1.9. Организация бесплатного горячего питания обучающихся, получающих начальное общее образование в муниципальных образовательных организациях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</si>
</sst>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Fill="1"/>
    <xf numFmtId="0" fontId="2" fillId="0" borderId="0" xfId="0" applyFont="1" applyFill="1" applyBorder="1" applyAlignment="1">
      <alignment vertical="top" wrapText="1"/>
    </xf>
    <xf numFmtId="0" fontId="2" fillId="0" borderId="5" xfId="0" applyFont="1" applyFill="1" applyBorder="1"/>
    <xf numFmtId="2" fontId="2" fillId="0" borderId="0" xfId="0" applyNumberFormat="1" applyFont="1" applyFill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/>
    <xf numFmtId="4" fontId="3" fillId="0" borderId="0" xfId="0" applyNumberFormat="1" applyFont="1" applyFill="1"/>
    <xf numFmtId="0" fontId="6" fillId="0" borderId="3" xfId="0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/>
    <xf numFmtId="4" fontId="1" fillId="0" borderId="0" xfId="0" applyNumberFormat="1" applyFont="1" applyFill="1"/>
    <xf numFmtId="4" fontId="1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/>
    <xf numFmtId="4" fontId="2" fillId="0" borderId="0" xfId="0" applyNumberFormat="1" applyFont="1" applyFill="1"/>
    <xf numFmtId="0" fontId="2" fillId="0" borderId="5" xfId="0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4"/>
  <sheetViews>
    <sheetView tabSelected="1" zoomScaleNormal="100" workbookViewId="0">
      <selection activeCell="B7" sqref="B7:B10"/>
    </sheetView>
  </sheetViews>
  <sheetFormatPr defaultColWidth="8.88671875" defaultRowHeight="13.8" x14ac:dyDescent="0.25"/>
  <cols>
    <col min="1" max="1" width="15.6640625" style="1" customWidth="1"/>
    <col min="2" max="2" width="32.6640625" style="1" customWidth="1"/>
    <col min="3" max="3" width="20.6640625" style="1" customWidth="1"/>
    <col min="4" max="4" width="26.6640625" style="1" customWidth="1"/>
    <col min="5" max="5" width="16" style="1" customWidth="1"/>
    <col min="6" max="6" width="15.6640625" style="1" customWidth="1"/>
    <col min="7" max="7" width="16.109375" style="1" customWidth="1"/>
    <col min="8" max="8" width="15.88671875" style="1" customWidth="1"/>
    <col min="9" max="9" width="16.44140625" style="1" customWidth="1"/>
    <col min="10" max="10" width="13.44140625" style="1" bestFit="1" customWidth="1"/>
    <col min="11" max="12" width="14.44140625" style="1" bestFit="1" customWidth="1"/>
    <col min="13" max="16384" width="8.88671875" style="1"/>
  </cols>
  <sheetData>
    <row r="1" spans="1:12" x14ac:dyDescent="0.25">
      <c r="E1" s="27"/>
      <c r="F1" s="2"/>
      <c r="G1" s="2"/>
      <c r="H1" s="2"/>
      <c r="I1" s="28" t="s">
        <v>60</v>
      </c>
    </row>
    <row r="2" spans="1:12" x14ac:dyDescent="0.25">
      <c r="E2" s="27"/>
      <c r="F2" s="27"/>
      <c r="G2" s="43"/>
      <c r="H2" s="43"/>
      <c r="I2" s="43"/>
    </row>
    <row r="3" spans="1:12" ht="31.2" customHeight="1" x14ac:dyDescent="0.3">
      <c r="A3" s="44" t="s">
        <v>8</v>
      </c>
      <c r="B3" s="44"/>
      <c r="C3" s="44"/>
      <c r="D3" s="44"/>
      <c r="E3" s="44"/>
      <c r="F3" s="44"/>
      <c r="G3" s="44"/>
      <c r="H3" s="44"/>
      <c r="I3" s="44"/>
    </row>
    <row r="4" spans="1:12" x14ac:dyDescent="0.25">
      <c r="A4" s="3"/>
      <c r="B4" s="3"/>
      <c r="C4" s="3"/>
      <c r="D4" s="3"/>
      <c r="E4" s="3"/>
      <c r="F4" s="3"/>
      <c r="G4" s="3"/>
      <c r="H4" s="23"/>
      <c r="I4" s="23"/>
    </row>
    <row r="5" spans="1:12" s="4" customFormat="1" ht="19.95" customHeight="1" x14ac:dyDescent="0.3">
      <c r="A5" s="52" t="s">
        <v>0</v>
      </c>
      <c r="B5" s="52" t="s">
        <v>1</v>
      </c>
      <c r="C5" s="52" t="s">
        <v>61</v>
      </c>
      <c r="D5" s="52" t="s">
        <v>6</v>
      </c>
      <c r="E5" s="45" t="s">
        <v>9</v>
      </c>
      <c r="F5" s="45"/>
      <c r="G5" s="45"/>
      <c r="H5" s="45"/>
      <c r="I5" s="45"/>
    </row>
    <row r="6" spans="1:12" s="4" customFormat="1" ht="19.95" customHeight="1" x14ac:dyDescent="0.3">
      <c r="A6" s="53"/>
      <c r="B6" s="53"/>
      <c r="C6" s="53"/>
      <c r="D6" s="53"/>
      <c r="E6" s="5">
        <v>2021</v>
      </c>
      <c r="F6" s="5">
        <v>2022</v>
      </c>
      <c r="G6" s="5">
        <v>2023</v>
      </c>
      <c r="H6" s="5">
        <v>2024</v>
      </c>
      <c r="I6" s="5">
        <v>2025</v>
      </c>
    </row>
    <row r="7" spans="1:12" s="8" customFormat="1" ht="13.95" customHeight="1" x14ac:dyDescent="0.25">
      <c r="A7" s="49" t="s">
        <v>2</v>
      </c>
      <c r="B7" s="49" t="s">
        <v>3</v>
      </c>
      <c r="C7" s="39" t="s">
        <v>62</v>
      </c>
      <c r="D7" s="6" t="s">
        <v>10</v>
      </c>
      <c r="E7" s="7">
        <f>SUM(E8:E10)</f>
        <v>439421159.1400001</v>
      </c>
      <c r="F7" s="7">
        <f t="shared" ref="F7:H7" si="0">SUM(F8:F10)</f>
        <v>448895720.97999996</v>
      </c>
      <c r="G7" s="7">
        <f t="shared" si="0"/>
        <v>476831149.13</v>
      </c>
      <c r="H7" s="7">
        <f t="shared" si="0"/>
        <v>521592822.80000001</v>
      </c>
      <c r="I7" s="7">
        <f t="shared" ref="I7" si="1">SUM(I8:I10)</f>
        <v>442126250.38999999</v>
      </c>
      <c r="L7" s="9"/>
    </row>
    <row r="8" spans="1:12" s="8" customFormat="1" ht="15.6" x14ac:dyDescent="0.25">
      <c r="A8" s="50"/>
      <c r="B8" s="50"/>
      <c r="C8" s="40"/>
      <c r="D8" s="10" t="s">
        <v>7</v>
      </c>
      <c r="E8" s="11">
        <f t="shared" ref="E8:H10" si="2">E12+E91+E210+E283+E304+E317</f>
        <v>21667165.890000001</v>
      </c>
      <c r="F8" s="11">
        <f t="shared" si="2"/>
        <v>22403059.990000002</v>
      </c>
      <c r="G8" s="11">
        <f t="shared" si="2"/>
        <v>23333128.98</v>
      </c>
      <c r="H8" s="11">
        <f t="shared" si="2"/>
        <v>40380917.530000001</v>
      </c>
      <c r="I8" s="11">
        <f t="shared" ref="I8" si="3">I12+I91+I210+I283+I304+I317</f>
        <v>25302076.990000002</v>
      </c>
    </row>
    <row r="9" spans="1:12" s="8" customFormat="1" ht="15.6" x14ac:dyDescent="0.25">
      <c r="A9" s="50"/>
      <c r="B9" s="50"/>
      <c r="C9" s="40"/>
      <c r="D9" s="10" t="s">
        <v>11</v>
      </c>
      <c r="E9" s="11">
        <f t="shared" si="2"/>
        <v>285457882.73000008</v>
      </c>
      <c r="F9" s="11">
        <f t="shared" si="2"/>
        <v>308898572.27999997</v>
      </c>
      <c r="G9" s="11">
        <f t="shared" si="2"/>
        <v>346612911.84999996</v>
      </c>
      <c r="H9" s="11">
        <f t="shared" si="2"/>
        <v>371095105.43000001</v>
      </c>
      <c r="I9" s="11">
        <f t="shared" ref="I9" si="4">I13+I92+I211+I284+I305+I318</f>
        <v>330067491.83999997</v>
      </c>
    </row>
    <row r="10" spans="1:12" s="8" customFormat="1" ht="15.6" x14ac:dyDescent="0.25">
      <c r="A10" s="51"/>
      <c r="B10" s="51"/>
      <c r="C10" s="41"/>
      <c r="D10" s="10" t="s">
        <v>12</v>
      </c>
      <c r="E10" s="11">
        <f t="shared" si="2"/>
        <v>132296110.52000003</v>
      </c>
      <c r="F10" s="11">
        <f t="shared" si="2"/>
        <v>117594088.70999998</v>
      </c>
      <c r="G10" s="11">
        <f t="shared" si="2"/>
        <v>106885108.3</v>
      </c>
      <c r="H10" s="11">
        <f t="shared" si="2"/>
        <v>110116799.83999999</v>
      </c>
      <c r="I10" s="11">
        <f t="shared" ref="I10" si="5">I14+I93+I212+I285+I306+I319</f>
        <v>86756681.560000002</v>
      </c>
    </row>
    <row r="11" spans="1:12" s="14" customFormat="1" ht="13.95" customHeight="1" x14ac:dyDescent="0.25">
      <c r="A11" s="46" t="s">
        <v>4</v>
      </c>
      <c r="B11" s="46" t="s">
        <v>5</v>
      </c>
      <c r="C11" s="39" t="s">
        <v>62</v>
      </c>
      <c r="D11" s="12" t="s">
        <v>10</v>
      </c>
      <c r="E11" s="13">
        <f>SUM(E12:E14)</f>
        <v>143721935.93000001</v>
      </c>
      <c r="F11" s="13">
        <f t="shared" ref="F11:H11" si="6">SUM(F12:F14)</f>
        <v>148618264.31999999</v>
      </c>
      <c r="G11" s="13">
        <f t="shared" si="6"/>
        <v>152854555.5</v>
      </c>
      <c r="H11" s="13">
        <f t="shared" si="6"/>
        <v>155886832.59999999</v>
      </c>
      <c r="I11" s="13">
        <f t="shared" ref="I11" si="7">SUM(I12:I14)</f>
        <v>146481274.88</v>
      </c>
      <c r="L11" s="15"/>
    </row>
    <row r="12" spans="1:12" s="14" customFormat="1" x14ac:dyDescent="0.25">
      <c r="A12" s="47"/>
      <c r="B12" s="47"/>
      <c r="C12" s="40"/>
      <c r="D12" s="24" t="s">
        <v>7</v>
      </c>
      <c r="E12" s="16">
        <f>E17+E21+E25+E33+E42+E46+E50+E54+E58+E62+E66+E70+E74+E78+E83+E87+E38+E29</f>
        <v>0</v>
      </c>
      <c r="F12" s="16">
        <f t="shared" ref="F12:I12" si="8">F17+F21+F25+F33+F42+F46+F50+F54+F58+F62+F66+F70+F74+F78+F83+F87+F38+F29</f>
        <v>0</v>
      </c>
      <c r="G12" s="16">
        <f t="shared" si="8"/>
        <v>0</v>
      </c>
      <c r="H12" s="16">
        <f t="shared" si="8"/>
        <v>0</v>
      </c>
      <c r="I12" s="16">
        <f t="shared" si="8"/>
        <v>0</v>
      </c>
    </row>
    <row r="13" spans="1:12" s="14" customFormat="1" x14ac:dyDescent="0.25">
      <c r="A13" s="47"/>
      <c r="B13" s="47"/>
      <c r="C13" s="40"/>
      <c r="D13" s="24" t="s">
        <v>11</v>
      </c>
      <c r="E13" s="16">
        <f>E18+E22+E26+E34+E43+E47+E51+E55+E59+E63+E67+E71+E75+E79+E84+E88+E39+E30</f>
        <v>95626018.939999998</v>
      </c>
      <c r="F13" s="16">
        <f t="shared" ref="F13:I13" si="9">F18+F22+F26+F34+F43+F47+F51+F55+F59+F63+F67+F71+F75+F79+F84+F88+F39+F30</f>
        <v>112957924.33</v>
      </c>
      <c r="G13" s="16">
        <f t="shared" si="9"/>
        <v>119887063</v>
      </c>
      <c r="H13" s="16">
        <f t="shared" si="9"/>
        <v>124209921.14</v>
      </c>
      <c r="I13" s="16">
        <f t="shared" si="9"/>
        <v>124721013.5</v>
      </c>
    </row>
    <row r="14" spans="1:12" s="14" customFormat="1" x14ac:dyDescent="0.25">
      <c r="A14" s="48"/>
      <c r="B14" s="48"/>
      <c r="C14" s="41"/>
      <c r="D14" s="24" t="s">
        <v>12</v>
      </c>
      <c r="E14" s="16">
        <f>E19+E23+E27+E44+E35+E48+E52+E56+E60+E64+E68+E72+E76+E80+E85+E89+E40+E31</f>
        <v>48095916.989999995</v>
      </c>
      <c r="F14" s="16">
        <f t="shared" ref="F14:I14" si="10">F19+F23+F27+F44+F35+F48+F52+F56+F60+F64+F68+F72+F76+F80+F85+F89+F40+F31</f>
        <v>35660339.989999995</v>
      </c>
      <c r="G14" s="16">
        <f t="shared" si="10"/>
        <v>32967492.499999996</v>
      </c>
      <c r="H14" s="16">
        <f t="shared" si="10"/>
        <v>31676911.459999997</v>
      </c>
      <c r="I14" s="16">
        <f t="shared" si="10"/>
        <v>21760261.380000003</v>
      </c>
      <c r="L14" s="15"/>
    </row>
    <row r="15" spans="1:12" s="14" customFormat="1" x14ac:dyDescent="0.25">
      <c r="A15" s="35" t="s">
        <v>16</v>
      </c>
      <c r="B15" s="36"/>
      <c r="C15" s="36"/>
      <c r="D15" s="36"/>
      <c r="E15" s="36"/>
      <c r="F15" s="36"/>
      <c r="G15" s="36"/>
      <c r="H15" s="36"/>
      <c r="I15" s="37"/>
    </row>
    <row r="16" spans="1:12" x14ac:dyDescent="0.25">
      <c r="A16" s="33">
        <v>1</v>
      </c>
      <c r="B16" s="30" t="s">
        <v>52</v>
      </c>
      <c r="C16" s="39" t="s">
        <v>62</v>
      </c>
      <c r="D16" s="17" t="s">
        <v>13</v>
      </c>
      <c r="E16" s="18">
        <f>SUM(E17:E19)</f>
        <v>47328029.269999996</v>
      </c>
      <c r="F16" s="18">
        <f t="shared" ref="F16:I16" si="11">SUM(F17:F19)</f>
        <v>34731520.43</v>
      </c>
      <c r="G16" s="18">
        <f t="shared" si="11"/>
        <v>27239038.169999998</v>
      </c>
      <c r="H16" s="18">
        <f t="shared" si="11"/>
        <v>25045676.399999999</v>
      </c>
      <c r="I16" s="18">
        <f t="shared" si="11"/>
        <v>15597309</v>
      </c>
    </row>
    <row r="17" spans="1:9" x14ac:dyDescent="0.25">
      <c r="A17" s="34"/>
      <c r="B17" s="31"/>
      <c r="C17" s="40"/>
      <c r="D17" s="26" t="s">
        <v>7</v>
      </c>
      <c r="E17" s="19"/>
      <c r="F17" s="19"/>
      <c r="G17" s="19"/>
      <c r="H17" s="19"/>
      <c r="I17" s="19"/>
    </row>
    <row r="18" spans="1:9" x14ac:dyDescent="0.25">
      <c r="A18" s="34"/>
      <c r="B18" s="31"/>
      <c r="C18" s="40"/>
      <c r="D18" s="26" t="s">
        <v>11</v>
      </c>
      <c r="E18" s="19"/>
      <c r="F18" s="19"/>
      <c r="G18" s="19"/>
      <c r="H18" s="19"/>
      <c r="I18" s="19"/>
    </row>
    <row r="19" spans="1:9" x14ac:dyDescent="0.25">
      <c r="A19" s="34"/>
      <c r="B19" s="31"/>
      <c r="C19" s="41"/>
      <c r="D19" s="25" t="s">
        <v>12</v>
      </c>
      <c r="E19" s="19">
        <f>49041030-260000-466683-467650-10454.54-53456.56-454756.63</f>
        <v>47328029.269999996</v>
      </c>
      <c r="F19" s="19">
        <f>37310000+15000-44000-1520000-194955.56+15584.61+658231.28-1508339.9</f>
        <v>34731520.43</v>
      </c>
      <c r="G19" s="20">
        <f>32758814.28-66144.44-109095.64-6675882.68+1331346.65</f>
        <v>27239038.169999998</v>
      </c>
      <c r="H19" s="20">
        <f>19597309+299000-4000+44359.23+28496.13+126792.64+1673199.02-813700-636300+4749781.79+144548.99-237373.4+73563</f>
        <v>25045676.399999999</v>
      </c>
      <c r="I19" s="20">
        <f>15597309</f>
        <v>15597309</v>
      </c>
    </row>
    <row r="20" spans="1:9" ht="16.95" customHeight="1" x14ac:dyDescent="0.25">
      <c r="A20" s="33">
        <v>2</v>
      </c>
      <c r="B20" s="30" t="s">
        <v>14</v>
      </c>
      <c r="C20" s="39" t="s">
        <v>62</v>
      </c>
      <c r="D20" s="17" t="s">
        <v>13</v>
      </c>
      <c r="E20" s="18">
        <f>SUM(E21:E23)</f>
        <v>85520509.269999996</v>
      </c>
      <c r="F20" s="18">
        <f t="shared" ref="F20" si="12">SUM(F21:F23)</f>
        <v>107793992.42999999</v>
      </c>
      <c r="G20" s="18">
        <f t="shared" ref="G20" si="13">SUM(G21:G23)</f>
        <v>104301200</v>
      </c>
      <c r="H20" s="18">
        <f t="shared" ref="H20" si="14">SUM(H21:H23)</f>
        <v>104325728</v>
      </c>
      <c r="I20" s="18">
        <f t="shared" ref="I20" si="15">SUM(I21:I23)</f>
        <v>106546500</v>
      </c>
    </row>
    <row r="21" spans="1:9" ht="16.95" customHeight="1" x14ac:dyDescent="0.25">
      <c r="A21" s="34"/>
      <c r="B21" s="31"/>
      <c r="C21" s="40"/>
      <c r="D21" s="26" t="s">
        <v>7</v>
      </c>
      <c r="E21" s="19"/>
      <c r="F21" s="19"/>
      <c r="G21" s="19"/>
      <c r="H21" s="19"/>
      <c r="I21" s="19"/>
    </row>
    <row r="22" spans="1:9" ht="16.95" customHeight="1" x14ac:dyDescent="0.25">
      <c r="A22" s="34"/>
      <c r="B22" s="31"/>
      <c r="C22" s="40"/>
      <c r="D22" s="26" t="s">
        <v>11</v>
      </c>
      <c r="E22" s="19">
        <f>95268752-3255548-6492694.73</f>
        <v>85520509.269999996</v>
      </c>
      <c r="F22" s="19">
        <f>93805806+6990894.08+6000000+997292.35</f>
        <v>107793992.42999999</v>
      </c>
      <c r="G22" s="19">
        <f>111121200-6820000</f>
        <v>104301200</v>
      </c>
      <c r="H22" s="19">
        <f>106546500+1000000+1388500-6187104+1577832</f>
        <v>104325728</v>
      </c>
      <c r="I22" s="19">
        <f>106546500</f>
        <v>106546500</v>
      </c>
    </row>
    <row r="23" spans="1:9" ht="16.95" customHeight="1" x14ac:dyDescent="0.25">
      <c r="A23" s="42"/>
      <c r="B23" s="32"/>
      <c r="C23" s="41"/>
      <c r="D23" s="25" t="s">
        <v>12</v>
      </c>
      <c r="E23" s="20"/>
      <c r="F23" s="20"/>
      <c r="G23" s="20"/>
      <c r="H23" s="20"/>
      <c r="I23" s="20"/>
    </row>
    <row r="24" spans="1:9" x14ac:dyDescent="0.25">
      <c r="A24" s="33">
        <v>3</v>
      </c>
      <c r="B24" s="30" t="s">
        <v>91</v>
      </c>
      <c r="C24" s="39" t="s">
        <v>62</v>
      </c>
      <c r="D24" s="17" t="s">
        <v>13</v>
      </c>
      <c r="E24" s="18">
        <f>SUM(E25:E27)</f>
        <v>6829999.9900000002</v>
      </c>
      <c r="F24" s="18">
        <f t="shared" ref="F24" si="16">SUM(F25:F27)</f>
        <v>1435353.53</v>
      </c>
      <c r="G24" s="18">
        <f t="shared" ref="G24" si="17">SUM(G25:G27)</f>
        <v>1578888.88</v>
      </c>
      <c r="H24" s="18">
        <f t="shared" ref="H24" si="18">SUM(H25:H27)</f>
        <v>4788989.8899999997</v>
      </c>
      <c r="I24" s="18">
        <f t="shared" ref="I24" si="19">SUM(I25:I27)</f>
        <v>1578888.88</v>
      </c>
    </row>
    <row r="25" spans="1:9" x14ac:dyDescent="0.25">
      <c r="A25" s="34"/>
      <c r="B25" s="31"/>
      <c r="C25" s="40"/>
      <c r="D25" s="26" t="s">
        <v>7</v>
      </c>
      <c r="E25" s="19"/>
      <c r="F25" s="19"/>
      <c r="G25" s="19"/>
      <c r="H25" s="19"/>
      <c r="I25" s="19"/>
    </row>
    <row r="26" spans="1:9" x14ac:dyDescent="0.25">
      <c r="A26" s="34"/>
      <c r="B26" s="31"/>
      <c r="C26" s="40"/>
      <c r="D26" s="26" t="s">
        <v>11</v>
      </c>
      <c r="E26" s="19">
        <f>1035000+5726700</f>
        <v>6761700</v>
      </c>
      <c r="F26" s="19">
        <v>1421000</v>
      </c>
      <c r="G26" s="19">
        <f>1563100</f>
        <v>1563100</v>
      </c>
      <c r="H26" s="19">
        <f>1563100+3178000</f>
        <v>4741100</v>
      </c>
      <c r="I26" s="19">
        <f>1563100</f>
        <v>1563100</v>
      </c>
    </row>
    <row r="27" spans="1:9" x14ac:dyDescent="0.25">
      <c r="A27" s="34"/>
      <c r="B27" s="31"/>
      <c r="C27" s="40"/>
      <c r="D27" s="25" t="s">
        <v>12</v>
      </c>
      <c r="E27" s="20">
        <f>10454.54+57845.45</f>
        <v>68299.989999999991</v>
      </c>
      <c r="F27" s="20">
        <v>14353.53</v>
      </c>
      <c r="G27" s="20">
        <f>15788.88</f>
        <v>15788.88</v>
      </c>
      <c r="H27" s="20">
        <f>15788.88+32101.01</f>
        <v>47889.89</v>
      </c>
      <c r="I27" s="20">
        <f>15788.88</f>
        <v>15788.88</v>
      </c>
    </row>
    <row r="28" spans="1:9" x14ac:dyDescent="0.25">
      <c r="A28" s="33">
        <v>4</v>
      </c>
      <c r="B28" s="30" t="s">
        <v>92</v>
      </c>
      <c r="C28" s="39" t="s">
        <v>62</v>
      </c>
      <c r="D28" s="17" t="s">
        <v>13</v>
      </c>
      <c r="E28" s="18">
        <f>SUM(E29:E31)</f>
        <v>0</v>
      </c>
      <c r="F28" s="18">
        <f t="shared" ref="F28:I28" si="20">SUM(F29:F31)</f>
        <v>0</v>
      </c>
      <c r="G28" s="18">
        <f t="shared" si="20"/>
        <v>15571090</v>
      </c>
      <c r="H28" s="18">
        <f t="shared" si="20"/>
        <v>18437228.379999999</v>
      </c>
      <c r="I28" s="18">
        <f t="shared" si="20"/>
        <v>20263377</v>
      </c>
    </row>
    <row r="29" spans="1:9" x14ac:dyDescent="0.25">
      <c r="A29" s="34"/>
      <c r="B29" s="31"/>
      <c r="C29" s="40"/>
      <c r="D29" s="26" t="s">
        <v>7</v>
      </c>
      <c r="E29" s="19"/>
      <c r="F29" s="19"/>
      <c r="G29" s="19"/>
      <c r="H29" s="19"/>
      <c r="I29" s="19"/>
    </row>
    <row r="30" spans="1:9" x14ac:dyDescent="0.25">
      <c r="A30" s="34"/>
      <c r="B30" s="31"/>
      <c r="C30" s="40"/>
      <c r="D30" s="26" t="s">
        <v>11</v>
      </c>
      <c r="E30" s="19"/>
      <c r="F30" s="19"/>
      <c r="G30" s="19">
        <f>10899763</f>
        <v>10899763</v>
      </c>
      <c r="H30" s="19">
        <f>14112936.5-1217716.23-56000</f>
        <v>12839220.27</v>
      </c>
      <c r="I30" s="19">
        <f>14116213.5</f>
        <v>14116213.5</v>
      </c>
    </row>
    <row r="31" spans="1:9" x14ac:dyDescent="0.25">
      <c r="A31" s="42"/>
      <c r="B31" s="32"/>
      <c r="C31" s="41"/>
      <c r="D31" s="25" t="s">
        <v>12</v>
      </c>
      <c r="E31" s="20"/>
      <c r="F31" s="20"/>
      <c r="G31" s="20">
        <f>4671327</f>
        <v>4671327</v>
      </c>
      <c r="H31" s="20">
        <f>6143886.5-521878.39-24000</f>
        <v>5598008.1100000003</v>
      </c>
      <c r="I31" s="20">
        <f>6147163.5</f>
        <v>6147163.5</v>
      </c>
    </row>
    <row r="32" spans="1:9" s="21" customFormat="1" ht="24.15" customHeight="1" x14ac:dyDescent="0.25">
      <c r="A32" s="33">
        <v>5</v>
      </c>
      <c r="B32" s="57" t="s">
        <v>22</v>
      </c>
      <c r="C32" s="39" t="s">
        <v>62</v>
      </c>
      <c r="D32" s="17" t="s">
        <v>13</v>
      </c>
      <c r="E32" s="18">
        <f>SUM(E33:E35)</f>
        <v>2303660.7000000002</v>
      </c>
      <c r="F32" s="18">
        <f t="shared" ref="F32" si="21">SUM(F33:F35)</f>
        <v>2149800</v>
      </c>
      <c r="G32" s="18">
        <f t="shared" ref="G32" si="22">SUM(G33:G35)</f>
        <v>1863000</v>
      </c>
      <c r="H32" s="18">
        <f t="shared" ref="H32" si="23">SUM(H33:H35)</f>
        <v>1872200</v>
      </c>
      <c r="I32" s="18">
        <f t="shared" ref="I32" si="24">SUM(I33:I35)</f>
        <v>2495200</v>
      </c>
    </row>
    <row r="33" spans="1:9" s="21" customFormat="1" ht="24.15" customHeight="1" x14ac:dyDescent="0.25">
      <c r="A33" s="34"/>
      <c r="B33" s="57"/>
      <c r="C33" s="40"/>
      <c r="D33" s="26" t="s">
        <v>7</v>
      </c>
      <c r="E33" s="19"/>
      <c r="F33" s="19"/>
      <c r="G33" s="19"/>
      <c r="H33" s="19"/>
      <c r="I33" s="19"/>
    </row>
    <row r="34" spans="1:9" s="21" customFormat="1" ht="24.15" customHeight="1" x14ac:dyDescent="0.25">
      <c r="A34" s="34"/>
      <c r="B34" s="57"/>
      <c r="C34" s="40"/>
      <c r="D34" s="26" t="s">
        <v>11</v>
      </c>
      <c r="E34" s="19">
        <f>2531200-1200-25000-200000-1339.3</f>
        <v>2303660.7000000002</v>
      </c>
      <c r="F34" s="19">
        <f>2533700-383900</f>
        <v>2149800</v>
      </c>
      <c r="G34" s="19">
        <f>2167000-304000</f>
        <v>1863000</v>
      </c>
      <c r="H34" s="19">
        <f>2495200-623000</f>
        <v>1872200</v>
      </c>
      <c r="I34" s="19">
        <f>2495200</f>
        <v>2495200</v>
      </c>
    </row>
    <row r="35" spans="1:9" s="21" customFormat="1" ht="24.15" customHeight="1" x14ac:dyDescent="0.25">
      <c r="A35" s="42"/>
      <c r="B35" s="57"/>
      <c r="C35" s="41"/>
      <c r="D35" s="25" t="s">
        <v>12</v>
      </c>
      <c r="E35" s="20"/>
      <c r="F35" s="20"/>
      <c r="G35" s="20"/>
      <c r="H35" s="20"/>
      <c r="I35" s="20"/>
    </row>
    <row r="36" spans="1:9" s="14" customFormat="1" x14ac:dyDescent="0.25">
      <c r="A36" s="35" t="s">
        <v>87</v>
      </c>
      <c r="B36" s="36"/>
      <c r="C36" s="36"/>
      <c r="D36" s="36"/>
      <c r="E36" s="36"/>
      <c r="F36" s="36"/>
      <c r="G36" s="36"/>
      <c r="H36" s="36"/>
      <c r="I36" s="37"/>
    </row>
    <row r="37" spans="1:9" s="21" customFormat="1" ht="30" customHeight="1" x14ac:dyDescent="0.25">
      <c r="A37" s="33">
        <v>6</v>
      </c>
      <c r="B37" s="30" t="s">
        <v>64</v>
      </c>
      <c r="C37" s="39" t="s">
        <v>62</v>
      </c>
      <c r="D37" s="17" t="s">
        <v>13</v>
      </c>
      <c r="E37" s="18">
        <f>SUM(E38:E40)</f>
        <v>389374.62</v>
      </c>
      <c r="F37" s="18">
        <f t="shared" ref="F37:I37" si="25">SUM(F38:F40)</f>
        <v>499205.62</v>
      </c>
      <c r="G37" s="18">
        <f t="shared" si="25"/>
        <v>0</v>
      </c>
      <c r="H37" s="18">
        <f t="shared" si="25"/>
        <v>0</v>
      </c>
      <c r="I37" s="18">
        <f t="shared" si="25"/>
        <v>0</v>
      </c>
    </row>
    <row r="38" spans="1:9" s="21" customFormat="1" ht="30" customHeight="1" x14ac:dyDescent="0.25">
      <c r="A38" s="34"/>
      <c r="B38" s="31"/>
      <c r="C38" s="40"/>
      <c r="D38" s="26" t="s">
        <v>7</v>
      </c>
      <c r="E38" s="19"/>
      <c r="F38" s="19"/>
      <c r="G38" s="19"/>
      <c r="H38" s="19"/>
      <c r="I38" s="19"/>
    </row>
    <row r="39" spans="1:9" s="21" customFormat="1" ht="30" customHeight="1" x14ac:dyDescent="0.25">
      <c r="A39" s="34"/>
      <c r="B39" s="31"/>
      <c r="C39" s="40"/>
      <c r="D39" s="26" t="s">
        <v>11</v>
      </c>
      <c r="E39" s="19"/>
      <c r="F39" s="19"/>
      <c r="G39" s="19"/>
      <c r="H39" s="19"/>
      <c r="I39" s="19"/>
    </row>
    <row r="40" spans="1:9" s="21" customFormat="1" ht="30" customHeight="1" x14ac:dyDescent="0.25">
      <c r="A40" s="42"/>
      <c r="B40" s="32"/>
      <c r="C40" s="41"/>
      <c r="D40" s="25" t="s">
        <v>12</v>
      </c>
      <c r="E40" s="20">
        <v>389374.62</v>
      </c>
      <c r="F40" s="20">
        <f>389374.62+109831</f>
        <v>499205.62</v>
      </c>
      <c r="G40" s="20"/>
      <c r="H40" s="20"/>
      <c r="I40" s="20"/>
    </row>
    <row r="41" spans="1:9" s="21" customFormat="1" ht="13.2" x14ac:dyDescent="0.25">
      <c r="A41" s="33">
        <v>7</v>
      </c>
      <c r="B41" s="30" t="s">
        <v>65</v>
      </c>
      <c r="C41" s="39" t="s">
        <v>62</v>
      </c>
      <c r="D41" s="17" t="s">
        <v>13</v>
      </c>
      <c r="E41" s="18">
        <f>SUM(E42:E44)</f>
        <v>0</v>
      </c>
      <c r="F41" s="18">
        <f t="shared" ref="F41:I41" si="26">SUM(F42:F44)</f>
        <v>0</v>
      </c>
      <c r="G41" s="18">
        <f t="shared" si="26"/>
        <v>0</v>
      </c>
      <c r="H41" s="18">
        <f t="shared" si="26"/>
        <v>0</v>
      </c>
      <c r="I41" s="18">
        <f t="shared" si="26"/>
        <v>0</v>
      </c>
    </row>
    <row r="42" spans="1:9" s="21" customFormat="1" ht="13.2" x14ac:dyDescent="0.25">
      <c r="A42" s="34"/>
      <c r="B42" s="31"/>
      <c r="C42" s="40"/>
      <c r="D42" s="26" t="s">
        <v>7</v>
      </c>
      <c r="E42" s="19"/>
      <c r="F42" s="19"/>
      <c r="G42" s="19"/>
      <c r="H42" s="19"/>
      <c r="I42" s="19"/>
    </row>
    <row r="43" spans="1:9" s="21" customFormat="1" ht="13.2" x14ac:dyDescent="0.25">
      <c r="A43" s="34"/>
      <c r="B43" s="31"/>
      <c r="C43" s="40"/>
      <c r="D43" s="26" t="s">
        <v>11</v>
      </c>
      <c r="E43" s="19"/>
      <c r="F43" s="19"/>
      <c r="G43" s="19"/>
      <c r="H43" s="19"/>
      <c r="I43" s="19"/>
    </row>
    <row r="44" spans="1:9" s="21" customFormat="1" ht="13.2" x14ac:dyDescent="0.25">
      <c r="A44" s="42"/>
      <c r="B44" s="32"/>
      <c r="C44" s="41"/>
      <c r="D44" s="25" t="s">
        <v>12</v>
      </c>
      <c r="E44" s="20"/>
      <c r="F44" s="20"/>
      <c r="G44" s="20"/>
      <c r="H44" s="20"/>
      <c r="I44" s="20"/>
    </row>
    <row r="45" spans="1:9" s="21" customFormat="1" ht="13.2" x14ac:dyDescent="0.25">
      <c r="A45" s="33">
        <v>8</v>
      </c>
      <c r="B45" s="30" t="s">
        <v>66</v>
      </c>
      <c r="C45" s="39" t="s">
        <v>62</v>
      </c>
      <c r="D45" s="17" t="s">
        <v>13</v>
      </c>
      <c r="E45" s="18">
        <f>SUM(E46:E48)</f>
        <v>99841</v>
      </c>
      <c r="F45" s="18">
        <f t="shared" ref="F45:I45" si="27">SUM(F46:F48)</f>
        <v>0</v>
      </c>
      <c r="G45" s="18">
        <f t="shared" si="27"/>
        <v>0</v>
      </c>
      <c r="H45" s="18">
        <f t="shared" si="27"/>
        <v>700000</v>
      </c>
      <c r="I45" s="18">
        <f t="shared" si="27"/>
        <v>0</v>
      </c>
    </row>
    <row r="46" spans="1:9" s="21" customFormat="1" ht="13.2" x14ac:dyDescent="0.25">
      <c r="A46" s="34"/>
      <c r="B46" s="31"/>
      <c r="C46" s="40"/>
      <c r="D46" s="26" t="s">
        <v>7</v>
      </c>
      <c r="E46" s="19"/>
      <c r="F46" s="19"/>
      <c r="G46" s="19"/>
      <c r="H46" s="19"/>
      <c r="I46" s="19"/>
    </row>
    <row r="47" spans="1:9" s="21" customFormat="1" ht="13.2" x14ac:dyDescent="0.25">
      <c r="A47" s="34"/>
      <c r="B47" s="31"/>
      <c r="C47" s="40"/>
      <c r="D47" s="26" t="s">
        <v>11</v>
      </c>
      <c r="E47" s="19"/>
      <c r="F47" s="19"/>
      <c r="G47" s="19"/>
      <c r="H47" s="19"/>
      <c r="I47" s="19"/>
    </row>
    <row r="48" spans="1:9" s="21" customFormat="1" ht="13.2" x14ac:dyDescent="0.25">
      <c r="A48" s="42"/>
      <c r="B48" s="32"/>
      <c r="C48" s="41"/>
      <c r="D48" s="25" t="s">
        <v>12</v>
      </c>
      <c r="E48" s="20">
        <f>800000-800000+99841+43925.66-43925.66</f>
        <v>99841</v>
      </c>
      <c r="F48" s="20"/>
      <c r="G48" s="20"/>
      <c r="H48" s="20">
        <f>450000+250000</f>
        <v>700000</v>
      </c>
      <c r="I48" s="20"/>
    </row>
    <row r="49" spans="1:9" s="21" customFormat="1" ht="30.45" customHeight="1" x14ac:dyDescent="0.25">
      <c r="A49" s="33">
        <v>9</v>
      </c>
      <c r="B49" s="30" t="s">
        <v>67</v>
      </c>
      <c r="C49" s="39" t="s">
        <v>62</v>
      </c>
      <c r="D49" s="17" t="s">
        <v>13</v>
      </c>
      <c r="E49" s="18">
        <f>SUM(E50:E52)</f>
        <v>0</v>
      </c>
      <c r="F49" s="18">
        <f t="shared" ref="F49:I49" si="28">SUM(F50:F52)</f>
        <v>0</v>
      </c>
      <c r="G49" s="18">
        <f t="shared" si="28"/>
        <v>0</v>
      </c>
      <c r="H49" s="18">
        <f t="shared" si="28"/>
        <v>0</v>
      </c>
      <c r="I49" s="18">
        <f t="shared" si="28"/>
        <v>0</v>
      </c>
    </row>
    <row r="50" spans="1:9" s="21" customFormat="1" ht="30.45" customHeight="1" x14ac:dyDescent="0.25">
      <c r="A50" s="34"/>
      <c r="B50" s="31"/>
      <c r="C50" s="40"/>
      <c r="D50" s="26" t="s">
        <v>7</v>
      </c>
      <c r="E50" s="19"/>
      <c r="F50" s="19"/>
      <c r="G50" s="19"/>
      <c r="H50" s="19"/>
      <c r="I50" s="19"/>
    </row>
    <row r="51" spans="1:9" s="21" customFormat="1" ht="30.45" customHeight="1" x14ac:dyDescent="0.25">
      <c r="A51" s="34"/>
      <c r="B51" s="31"/>
      <c r="C51" s="40"/>
      <c r="D51" s="26" t="s">
        <v>11</v>
      </c>
      <c r="E51" s="19"/>
      <c r="F51" s="19"/>
      <c r="G51" s="19"/>
      <c r="H51" s="19"/>
      <c r="I51" s="19"/>
    </row>
    <row r="52" spans="1:9" s="21" customFormat="1" ht="30.45" customHeight="1" x14ac:dyDescent="0.25">
      <c r="A52" s="42"/>
      <c r="B52" s="32"/>
      <c r="C52" s="41"/>
      <c r="D52" s="25" t="s">
        <v>12</v>
      </c>
      <c r="E52" s="20"/>
      <c r="F52" s="20"/>
      <c r="G52" s="20"/>
      <c r="H52" s="20"/>
      <c r="I52" s="20"/>
    </row>
    <row r="53" spans="1:9" s="21" customFormat="1" ht="13.2" x14ac:dyDescent="0.25">
      <c r="A53" s="33">
        <v>10</v>
      </c>
      <c r="B53" s="30" t="s">
        <v>68</v>
      </c>
      <c r="C53" s="39" t="s">
        <v>62</v>
      </c>
      <c r="D53" s="17" t="s">
        <v>13</v>
      </c>
      <c r="E53" s="18">
        <f>SUM(E54:E56)</f>
        <v>0</v>
      </c>
      <c r="F53" s="18">
        <f t="shared" ref="F53:I53" si="29">SUM(F54:F56)</f>
        <v>0</v>
      </c>
      <c r="G53" s="18">
        <f t="shared" si="29"/>
        <v>0</v>
      </c>
      <c r="H53" s="18">
        <f t="shared" si="29"/>
        <v>0</v>
      </c>
      <c r="I53" s="18">
        <f t="shared" si="29"/>
        <v>0</v>
      </c>
    </row>
    <row r="54" spans="1:9" s="21" customFormat="1" ht="13.2" x14ac:dyDescent="0.25">
      <c r="A54" s="34"/>
      <c r="B54" s="31"/>
      <c r="C54" s="40"/>
      <c r="D54" s="26" t="s">
        <v>7</v>
      </c>
      <c r="E54" s="19"/>
      <c r="F54" s="19"/>
      <c r="G54" s="19"/>
      <c r="H54" s="19"/>
      <c r="I54" s="19"/>
    </row>
    <row r="55" spans="1:9" s="21" customFormat="1" ht="13.2" x14ac:dyDescent="0.25">
      <c r="A55" s="34"/>
      <c r="B55" s="31"/>
      <c r="C55" s="40"/>
      <c r="D55" s="26" t="s">
        <v>11</v>
      </c>
      <c r="E55" s="19"/>
      <c r="F55" s="19"/>
      <c r="G55" s="19"/>
      <c r="H55" s="19"/>
      <c r="I55" s="19"/>
    </row>
    <row r="56" spans="1:9" s="21" customFormat="1" ht="13.2" x14ac:dyDescent="0.25">
      <c r="A56" s="34"/>
      <c r="B56" s="32"/>
      <c r="C56" s="41"/>
      <c r="D56" s="25" t="s">
        <v>12</v>
      </c>
      <c r="E56" s="20"/>
      <c r="F56" s="20"/>
      <c r="G56" s="20"/>
      <c r="H56" s="20"/>
      <c r="I56" s="20"/>
    </row>
    <row r="57" spans="1:9" s="21" customFormat="1" ht="13.2" x14ac:dyDescent="0.25">
      <c r="A57" s="38">
        <v>11</v>
      </c>
      <c r="B57" s="30" t="s">
        <v>69</v>
      </c>
      <c r="C57" s="39" t="s">
        <v>62</v>
      </c>
      <c r="D57" s="17" t="s">
        <v>13</v>
      </c>
      <c r="E57" s="18">
        <f>SUM(E58:E60)</f>
        <v>0</v>
      </c>
      <c r="F57" s="18">
        <f t="shared" ref="F57:I57" si="30">SUM(F58:F60)</f>
        <v>143445.75</v>
      </c>
      <c r="G57" s="18">
        <f t="shared" si="30"/>
        <v>0</v>
      </c>
      <c r="H57" s="18">
        <f t="shared" si="30"/>
        <v>237373.4</v>
      </c>
      <c r="I57" s="18">
        <f t="shared" si="30"/>
        <v>0</v>
      </c>
    </row>
    <row r="58" spans="1:9" s="21" customFormat="1" ht="13.2" x14ac:dyDescent="0.25">
      <c r="A58" s="38"/>
      <c r="B58" s="31"/>
      <c r="C58" s="40"/>
      <c r="D58" s="26" t="s">
        <v>7</v>
      </c>
      <c r="E58" s="19"/>
      <c r="F58" s="19"/>
      <c r="G58" s="19"/>
      <c r="H58" s="19"/>
      <c r="I58" s="19"/>
    </row>
    <row r="59" spans="1:9" s="21" customFormat="1" ht="13.2" x14ac:dyDescent="0.25">
      <c r="A59" s="38"/>
      <c r="B59" s="31"/>
      <c r="C59" s="40"/>
      <c r="D59" s="26" t="s">
        <v>11</v>
      </c>
      <c r="E59" s="19"/>
      <c r="F59" s="19"/>
      <c r="G59" s="19"/>
      <c r="H59" s="19"/>
      <c r="I59" s="19"/>
    </row>
    <row r="60" spans="1:9" s="21" customFormat="1" ht="13.2" x14ac:dyDescent="0.25">
      <c r="A60" s="38"/>
      <c r="B60" s="32"/>
      <c r="C60" s="41"/>
      <c r="D60" s="25" t="s">
        <v>12</v>
      </c>
      <c r="E60" s="20"/>
      <c r="F60" s="20">
        <f>143445.75</f>
        <v>143445.75</v>
      </c>
      <c r="G60" s="20"/>
      <c r="H60" s="20">
        <v>237373.4</v>
      </c>
      <c r="I60" s="20"/>
    </row>
    <row r="61" spans="1:9" s="21" customFormat="1" ht="13.2" x14ac:dyDescent="0.25">
      <c r="A61" s="38">
        <v>12</v>
      </c>
      <c r="B61" s="30" t="s">
        <v>70</v>
      </c>
      <c r="C61" s="39" t="s">
        <v>62</v>
      </c>
      <c r="D61" s="17" t="s">
        <v>13</v>
      </c>
      <c r="E61" s="18">
        <f>SUM(E62:E64)</f>
        <v>1155721.08</v>
      </c>
      <c r="F61" s="18">
        <f t="shared" ref="F61:I61" si="31">SUM(F62:F64)</f>
        <v>1770146.5599999998</v>
      </c>
      <c r="G61" s="18">
        <f t="shared" si="31"/>
        <v>2200058.4500000002</v>
      </c>
      <c r="H61" s="18">
        <f t="shared" si="31"/>
        <v>479636.52999999997</v>
      </c>
      <c r="I61" s="18">
        <f t="shared" si="31"/>
        <v>0</v>
      </c>
    </row>
    <row r="62" spans="1:9" s="21" customFormat="1" ht="13.2" x14ac:dyDescent="0.25">
      <c r="A62" s="38"/>
      <c r="B62" s="31"/>
      <c r="C62" s="40"/>
      <c r="D62" s="26" t="s">
        <v>7</v>
      </c>
      <c r="E62" s="19"/>
      <c r="F62" s="19"/>
      <c r="G62" s="19"/>
      <c r="H62" s="19"/>
      <c r="I62" s="19"/>
    </row>
    <row r="63" spans="1:9" s="21" customFormat="1" ht="13.2" x14ac:dyDescent="0.25">
      <c r="A63" s="38"/>
      <c r="B63" s="31"/>
      <c r="C63" s="40"/>
      <c r="D63" s="26" t="s">
        <v>11</v>
      </c>
      <c r="E63" s="19">
        <v>1040148.97</v>
      </c>
      <c r="F63" s="19">
        <f>978881.9-36000+650250</f>
        <v>1593131.9</v>
      </c>
      <c r="G63" s="19">
        <f>1260000</f>
        <v>1260000</v>
      </c>
      <c r="H63" s="19">
        <f>435900-4227.13</f>
        <v>431672.87</v>
      </c>
      <c r="I63" s="19"/>
    </row>
    <row r="64" spans="1:9" s="21" customFormat="1" ht="13.2" x14ac:dyDescent="0.25">
      <c r="A64" s="38"/>
      <c r="B64" s="32"/>
      <c r="C64" s="41"/>
      <c r="D64" s="25" t="s">
        <v>12</v>
      </c>
      <c r="E64" s="20">
        <f>101800+13772.11</f>
        <v>115572.11</v>
      </c>
      <c r="F64" s="20">
        <f>108764.66-4000+72250</f>
        <v>177014.66</v>
      </c>
      <c r="G64" s="20">
        <f>140000+690962.81+109095.64</f>
        <v>940058.45000000007</v>
      </c>
      <c r="H64" s="20">
        <f>48433.34-469.68</f>
        <v>47963.659999999996</v>
      </c>
      <c r="I64" s="20"/>
    </row>
    <row r="65" spans="1:9" s="21" customFormat="1" ht="13.2" x14ac:dyDescent="0.25">
      <c r="A65" s="38">
        <v>13</v>
      </c>
      <c r="B65" s="30" t="s">
        <v>71</v>
      </c>
      <c r="C65" s="39" t="s">
        <v>62</v>
      </c>
      <c r="D65" s="17" t="s">
        <v>13</v>
      </c>
      <c r="E65" s="18">
        <f>SUM(E66:E68)</f>
        <v>94800</v>
      </c>
      <c r="F65" s="18">
        <f t="shared" ref="F65:I65" si="32">SUM(F66:F68)</f>
        <v>94800</v>
      </c>
      <c r="G65" s="18">
        <f t="shared" si="32"/>
        <v>101280</v>
      </c>
      <c r="H65" s="18">
        <f t="shared" si="32"/>
        <v>0</v>
      </c>
      <c r="I65" s="18">
        <f t="shared" si="32"/>
        <v>0</v>
      </c>
    </row>
    <row r="66" spans="1:9" s="21" customFormat="1" ht="13.2" x14ac:dyDescent="0.25">
      <c r="A66" s="38"/>
      <c r="B66" s="31"/>
      <c r="C66" s="40"/>
      <c r="D66" s="26" t="s">
        <v>7</v>
      </c>
      <c r="E66" s="19"/>
      <c r="F66" s="19"/>
      <c r="G66" s="19"/>
      <c r="H66" s="19"/>
      <c r="I66" s="19"/>
    </row>
    <row r="67" spans="1:9" s="21" customFormat="1" ht="13.2" x14ac:dyDescent="0.25">
      <c r="A67" s="38"/>
      <c r="B67" s="31"/>
      <c r="C67" s="40"/>
      <c r="D67" s="26" t="s">
        <v>11</v>
      </c>
      <c r="E67" s="19"/>
      <c r="F67" s="19"/>
      <c r="G67" s="19"/>
      <c r="H67" s="19"/>
      <c r="I67" s="19"/>
    </row>
    <row r="68" spans="1:9" s="21" customFormat="1" ht="13.2" x14ac:dyDescent="0.25">
      <c r="A68" s="38"/>
      <c r="B68" s="32"/>
      <c r="C68" s="41"/>
      <c r="D68" s="25" t="s">
        <v>12</v>
      </c>
      <c r="E68" s="20">
        <v>94800</v>
      </c>
      <c r="F68" s="20">
        <v>94800</v>
      </c>
      <c r="G68" s="20">
        <f>94800+6480</f>
        <v>101280</v>
      </c>
      <c r="H68" s="20"/>
      <c r="I68" s="20"/>
    </row>
    <row r="69" spans="1:9" s="21" customFormat="1" ht="16.95" customHeight="1" x14ac:dyDescent="0.25">
      <c r="A69" s="38">
        <v>14</v>
      </c>
      <c r="B69" s="30" t="s">
        <v>72</v>
      </c>
      <c r="C69" s="39" t="s">
        <v>62</v>
      </c>
      <c r="D69" s="17" t="s">
        <v>13</v>
      </c>
      <c r="E69" s="18">
        <f>SUM(E70:E72)</f>
        <v>0</v>
      </c>
      <c r="F69" s="18">
        <f t="shared" ref="F69:I69" si="33">SUM(F70:F72)</f>
        <v>0</v>
      </c>
      <c r="G69" s="18">
        <f t="shared" si="33"/>
        <v>0</v>
      </c>
      <c r="H69" s="18">
        <f t="shared" si="33"/>
        <v>0</v>
      </c>
      <c r="I69" s="18">
        <f t="shared" si="33"/>
        <v>0</v>
      </c>
    </row>
    <row r="70" spans="1:9" s="21" customFormat="1" ht="16.95" customHeight="1" x14ac:dyDescent="0.25">
      <c r="A70" s="38"/>
      <c r="B70" s="31"/>
      <c r="C70" s="40"/>
      <c r="D70" s="26" t="s">
        <v>7</v>
      </c>
      <c r="E70" s="19"/>
      <c r="F70" s="19"/>
      <c r="G70" s="19"/>
      <c r="H70" s="19"/>
      <c r="I70" s="19"/>
    </row>
    <row r="71" spans="1:9" s="21" customFormat="1" ht="16.95" customHeight="1" x14ac:dyDescent="0.25">
      <c r="A71" s="38"/>
      <c r="B71" s="31"/>
      <c r="C71" s="40"/>
      <c r="D71" s="26" t="s">
        <v>11</v>
      </c>
      <c r="E71" s="19"/>
      <c r="F71" s="19"/>
      <c r="G71" s="19"/>
      <c r="H71" s="19"/>
      <c r="I71" s="19"/>
    </row>
    <row r="72" spans="1:9" s="21" customFormat="1" ht="16.95" customHeight="1" x14ac:dyDescent="0.25">
      <c r="A72" s="38"/>
      <c r="B72" s="32"/>
      <c r="C72" s="41"/>
      <c r="D72" s="25" t="s">
        <v>12</v>
      </c>
      <c r="E72" s="20"/>
      <c r="F72" s="20"/>
      <c r="G72" s="20"/>
      <c r="H72" s="20"/>
      <c r="I72" s="20"/>
    </row>
    <row r="73" spans="1:9" s="21" customFormat="1" ht="13.2" x14ac:dyDescent="0.25">
      <c r="A73" s="38">
        <v>15</v>
      </c>
      <c r="B73" s="30" t="s">
        <v>73</v>
      </c>
      <c r="C73" s="39" t="s">
        <v>62</v>
      </c>
      <c r="D73" s="17" t="s">
        <v>13</v>
      </c>
      <c r="E73" s="18">
        <f>SUM(E74:E76)</f>
        <v>0</v>
      </c>
      <c r="F73" s="18">
        <f t="shared" ref="F73:I73" si="34">SUM(F74:F76)</f>
        <v>0</v>
      </c>
      <c r="G73" s="18">
        <f t="shared" si="34"/>
        <v>0</v>
      </c>
      <c r="H73" s="18">
        <f t="shared" si="34"/>
        <v>0</v>
      </c>
      <c r="I73" s="18">
        <f t="shared" si="34"/>
        <v>0</v>
      </c>
    </row>
    <row r="74" spans="1:9" s="21" customFormat="1" ht="13.2" x14ac:dyDescent="0.25">
      <c r="A74" s="38"/>
      <c r="B74" s="31"/>
      <c r="C74" s="40"/>
      <c r="D74" s="26" t="s">
        <v>7</v>
      </c>
      <c r="E74" s="19"/>
      <c r="F74" s="19"/>
      <c r="G74" s="19"/>
      <c r="H74" s="19"/>
      <c r="I74" s="19"/>
    </row>
    <row r="75" spans="1:9" s="21" customFormat="1" ht="13.2" x14ac:dyDescent="0.25">
      <c r="A75" s="38"/>
      <c r="B75" s="31"/>
      <c r="C75" s="40"/>
      <c r="D75" s="26" t="s">
        <v>11</v>
      </c>
      <c r="E75" s="19"/>
      <c r="F75" s="19"/>
      <c r="G75" s="19"/>
      <c r="H75" s="19"/>
      <c r="I75" s="19"/>
    </row>
    <row r="76" spans="1:9" s="21" customFormat="1" ht="13.2" x14ac:dyDescent="0.25">
      <c r="A76" s="38"/>
      <c r="B76" s="32"/>
      <c r="C76" s="41"/>
      <c r="D76" s="25" t="s">
        <v>12</v>
      </c>
      <c r="E76" s="20"/>
      <c r="F76" s="20"/>
      <c r="G76" s="20"/>
      <c r="H76" s="20"/>
      <c r="I76" s="20"/>
    </row>
    <row r="77" spans="1:9" s="21" customFormat="1" ht="13.2" x14ac:dyDescent="0.25">
      <c r="A77" s="38">
        <v>16</v>
      </c>
      <c r="B77" s="30" t="s">
        <v>74</v>
      </c>
      <c r="C77" s="39" t="s">
        <v>62</v>
      </c>
      <c r="D77" s="17" t="s">
        <v>13</v>
      </c>
      <c r="E77" s="18">
        <f>SUM(E78:E80)</f>
        <v>0</v>
      </c>
      <c r="F77" s="18">
        <f t="shared" ref="F77:I77" si="35">SUM(F78:F80)</f>
        <v>0</v>
      </c>
      <c r="G77" s="18">
        <f t="shared" si="35"/>
        <v>0</v>
      </c>
      <c r="H77" s="18">
        <f t="shared" si="35"/>
        <v>0</v>
      </c>
      <c r="I77" s="18">
        <f t="shared" si="35"/>
        <v>0</v>
      </c>
    </row>
    <row r="78" spans="1:9" s="21" customFormat="1" ht="13.2" x14ac:dyDescent="0.25">
      <c r="A78" s="38"/>
      <c r="B78" s="31"/>
      <c r="C78" s="40"/>
      <c r="D78" s="26" t="s">
        <v>7</v>
      </c>
      <c r="E78" s="19"/>
      <c r="F78" s="19"/>
      <c r="G78" s="19"/>
      <c r="H78" s="19"/>
      <c r="I78" s="19"/>
    </row>
    <row r="79" spans="1:9" s="21" customFormat="1" ht="13.2" x14ac:dyDescent="0.25">
      <c r="A79" s="38"/>
      <c r="B79" s="31"/>
      <c r="C79" s="40"/>
      <c r="D79" s="26" t="s">
        <v>11</v>
      </c>
      <c r="E79" s="19"/>
      <c r="F79" s="19"/>
      <c r="G79" s="19"/>
      <c r="H79" s="19"/>
      <c r="I79" s="19"/>
    </row>
    <row r="80" spans="1:9" s="21" customFormat="1" ht="13.2" x14ac:dyDescent="0.25">
      <c r="A80" s="38"/>
      <c r="B80" s="32"/>
      <c r="C80" s="41"/>
      <c r="D80" s="25" t="s">
        <v>12</v>
      </c>
      <c r="E80" s="20"/>
      <c r="F80" s="20"/>
      <c r="G80" s="20"/>
      <c r="H80" s="20"/>
      <c r="I80" s="20"/>
    </row>
    <row r="81" spans="1:12" s="21" customFormat="1" x14ac:dyDescent="0.25">
      <c r="A81" s="35" t="s">
        <v>88</v>
      </c>
      <c r="B81" s="36"/>
      <c r="C81" s="36"/>
      <c r="D81" s="36"/>
      <c r="E81" s="36"/>
      <c r="F81" s="36"/>
      <c r="G81" s="36"/>
      <c r="H81" s="36"/>
      <c r="I81" s="37"/>
    </row>
    <row r="82" spans="1:12" x14ac:dyDescent="0.25">
      <c r="A82" s="33">
        <v>17</v>
      </c>
      <c r="B82" s="30" t="s">
        <v>15</v>
      </c>
      <c r="C82" s="39" t="s">
        <v>62</v>
      </c>
      <c r="D82" s="17" t="s">
        <v>13</v>
      </c>
      <c r="E82" s="18">
        <f>SUM(E83:E85)</f>
        <v>0</v>
      </c>
      <c r="F82" s="18">
        <f t="shared" ref="F82:I82" si="36">SUM(F83:F85)</f>
        <v>0</v>
      </c>
      <c r="G82" s="18">
        <f t="shared" si="36"/>
        <v>0</v>
      </c>
      <c r="H82" s="18">
        <f t="shared" si="36"/>
        <v>0</v>
      </c>
      <c r="I82" s="18">
        <f t="shared" si="36"/>
        <v>0</v>
      </c>
    </row>
    <row r="83" spans="1:12" x14ac:dyDescent="0.25">
      <c r="A83" s="34"/>
      <c r="B83" s="31"/>
      <c r="C83" s="40"/>
      <c r="D83" s="26" t="s">
        <v>7</v>
      </c>
      <c r="E83" s="19"/>
      <c r="F83" s="19"/>
      <c r="G83" s="19"/>
      <c r="H83" s="19"/>
      <c r="I83" s="19"/>
    </row>
    <row r="84" spans="1:12" x14ac:dyDescent="0.25">
      <c r="A84" s="34"/>
      <c r="B84" s="31"/>
      <c r="C84" s="40"/>
      <c r="D84" s="26" t="s">
        <v>11</v>
      </c>
      <c r="E84" s="19"/>
      <c r="F84" s="19"/>
      <c r="G84" s="19"/>
      <c r="H84" s="19"/>
      <c r="I84" s="19"/>
    </row>
    <row r="85" spans="1:12" x14ac:dyDescent="0.25">
      <c r="A85" s="42"/>
      <c r="B85" s="32"/>
      <c r="C85" s="41"/>
      <c r="D85" s="25" t="s">
        <v>12</v>
      </c>
      <c r="E85" s="20"/>
      <c r="F85" s="20"/>
      <c r="G85" s="20"/>
      <c r="H85" s="20"/>
      <c r="I85" s="20"/>
    </row>
    <row r="86" spans="1:12" ht="20.7" customHeight="1" x14ac:dyDescent="0.25">
      <c r="A86" s="33">
        <v>18</v>
      </c>
      <c r="B86" s="57" t="s">
        <v>17</v>
      </c>
      <c r="C86" s="39" t="s">
        <v>62</v>
      </c>
      <c r="D86" s="17" t="s">
        <v>13</v>
      </c>
      <c r="E86" s="18">
        <f>SUM(E87:E89)</f>
        <v>0</v>
      </c>
      <c r="F86" s="18">
        <f t="shared" ref="F86:I86" si="37">SUM(F87:F89)</f>
        <v>0</v>
      </c>
      <c r="G86" s="18">
        <f t="shared" si="37"/>
        <v>0</v>
      </c>
      <c r="H86" s="18">
        <f t="shared" si="37"/>
        <v>0</v>
      </c>
      <c r="I86" s="18">
        <f t="shared" si="37"/>
        <v>0</v>
      </c>
    </row>
    <row r="87" spans="1:12" ht="20.7" customHeight="1" x14ac:dyDescent="0.25">
      <c r="A87" s="34"/>
      <c r="B87" s="57"/>
      <c r="C87" s="40"/>
      <c r="D87" s="26" t="s">
        <v>7</v>
      </c>
      <c r="E87" s="19"/>
      <c r="F87" s="19"/>
      <c r="G87" s="19"/>
      <c r="H87" s="19"/>
      <c r="I87" s="19"/>
    </row>
    <row r="88" spans="1:12" ht="20.7" customHeight="1" x14ac:dyDescent="0.25">
      <c r="A88" s="34"/>
      <c r="B88" s="57"/>
      <c r="C88" s="40"/>
      <c r="D88" s="26" t="s">
        <v>11</v>
      </c>
      <c r="E88" s="19"/>
      <c r="F88" s="19"/>
      <c r="G88" s="19"/>
      <c r="H88" s="19"/>
      <c r="I88" s="19"/>
    </row>
    <row r="89" spans="1:12" ht="20.7" customHeight="1" x14ac:dyDescent="0.25">
      <c r="A89" s="42"/>
      <c r="B89" s="57"/>
      <c r="C89" s="41"/>
      <c r="D89" s="26" t="s">
        <v>12</v>
      </c>
      <c r="E89" s="19"/>
      <c r="F89" s="19"/>
      <c r="G89" s="19"/>
      <c r="H89" s="19"/>
      <c r="I89" s="19"/>
    </row>
    <row r="90" spans="1:12" s="14" customFormat="1" ht="13.95" customHeight="1" x14ac:dyDescent="0.25">
      <c r="A90" s="46" t="s">
        <v>18</v>
      </c>
      <c r="B90" s="46" t="s">
        <v>19</v>
      </c>
      <c r="C90" s="39" t="s">
        <v>62</v>
      </c>
      <c r="D90" s="12" t="s">
        <v>10</v>
      </c>
      <c r="E90" s="13">
        <f>SUM(E91:E93)</f>
        <v>251046759.68000001</v>
      </c>
      <c r="F90" s="13">
        <f t="shared" ref="F90:H90" si="38">SUM(F91:F93)</f>
        <v>253167607.16999999</v>
      </c>
      <c r="G90" s="13">
        <f t="shared" si="38"/>
        <v>273492801.14999998</v>
      </c>
      <c r="H90" s="13">
        <f t="shared" si="38"/>
        <v>312952763.64000005</v>
      </c>
      <c r="I90" s="13">
        <f t="shared" ref="I90" si="39">SUM(I91:I93)</f>
        <v>247567561.52000001</v>
      </c>
      <c r="K90" s="15"/>
      <c r="L90" s="15"/>
    </row>
    <row r="91" spans="1:12" s="14" customFormat="1" x14ac:dyDescent="0.25">
      <c r="A91" s="47"/>
      <c r="B91" s="47"/>
      <c r="C91" s="40"/>
      <c r="D91" s="24" t="s">
        <v>7</v>
      </c>
      <c r="E91" s="16">
        <f>E96+E100+E104+E112+E124+E128+E133+E137+E145+E149+E153+E157+E161+E165+E169+E173+E185+E189+E198+E202+E141+E193+E116+E120+E206+E108</f>
        <v>21564329.66</v>
      </c>
      <c r="F91" s="16">
        <f t="shared" ref="F91:I91" si="40">F96+F100+F104+F112+F124+F128+F133+F137+F145+F149+F153+F157+F161+F165+F169+F173+F185+F189+F198+F202+F141+F193+F116+F120+F206+F108</f>
        <v>22403059.990000002</v>
      </c>
      <c r="G91" s="16">
        <f t="shared" si="40"/>
        <v>23333128.98</v>
      </c>
      <c r="H91" s="16">
        <f t="shared" si="40"/>
        <v>40380917.530000001</v>
      </c>
      <c r="I91" s="16">
        <f t="shared" si="40"/>
        <v>25302076.990000002</v>
      </c>
    </row>
    <row r="92" spans="1:12" s="14" customFormat="1" x14ac:dyDescent="0.25">
      <c r="A92" s="47"/>
      <c r="B92" s="47"/>
      <c r="C92" s="40"/>
      <c r="D92" s="24" t="s">
        <v>11</v>
      </c>
      <c r="E92" s="16">
        <f>E97+E101+E105+E113+E125+E129+E134+E138+E146+E150+E154+E158+E162+E166+E170+E174+E186+E190+E199+E203+E142+E194+E117+E121+E207+E109</f>
        <v>187917051.40000001</v>
      </c>
      <c r="F92" s="16">
        <f t="shared" ref="F92:I92" si="41">F97+F101+F105+F113+F125+F129+F134+F138+F146+F150+F154+F158+F162+F166+F170+F174+F186+F190+F199+F203+F142+F194+F117+F121+F207+F109</f>
        <v>190909415.67999998</v>
      </c>
      <c r="G92" s="16">
        <f t="shared" si="41"/>
        <v>219798059.02000001</v>
      </c>
      <c r="H92" s="16">
        <f t="shared" si="41"/>
        <v>237473313.93000001</v>
      </c>
      <c r="I92" s="16">
        <f t="shared" si="41"/>
        <v>199717895.00999999</v>
      </c>
    </row>
    <row r="93" spans="1:12" s="14" customFormat="1" x14ac:dyDescent="0.25">
      <c r="A93" s="48"/>
      <c r="B93" s="48"/>
      <c r="C93" s="41"/>
      <c r="D93" s="24" t="s">
        <v>12</v>
      </c>
      <c r="E93" s="16">
        <f>E98+E102+E106+E114+E126+E130+E135+E139+E147+E151+E155+E159+E163+E167+E171+E175+E187+E191+E200+E204+E143+E195+E118+E122+E208+E110</f>
        <v>41565378.620000012</v>
      </c>
      <c r="F93" s="16">
        <f t="shared" ref="F93:I93" si="42">F98+F102+F106+F114+F126+F130+F135+F139+F147+F151+F155+F159+F163+F167+F171+F175+F187+F191+F200+F204+F143+F195+F118+F122+F208+F110</f>
        <v>39855131.499999993</v>
      </c>
      <c r="G93" s="16">
        <f t="shared" si="42"/>
        <v>30361613.149999995</v>
      </c>
      <c r="H93" s="16">
        <f t="shared" si="42"/>
        <v>35098532.180000007</v>
      </c>
      <c r="I93" s="16">
        <f t="shared" si="42"/>
        <v>22547589.52</v>
      </c>
      <c r="L93" s="15"/>
    </row>
    <row r="94" spans="1:12" s="14" customFormat="1" x14ac:dyDescent="0.25">
      <c r="A94" s="35" t="s">
        <v>20</v>
      </c>
      <c r="B94" s="36"/>
      <c r="C94" s="36"/>
      <c r="D94" s="36"/>
      <c r="E94" s="36"/>
      <c r="F94" s="36"/>
      <c r="G94" s="36"/>
      <c r="H94" s="36"/>
      <c r="I94" s="37"/>
    </row>
    <row r="95" spans="1:12" x14ac:dyDescent="0.25">
      <c r="A95" s="33">
        <v>1</v>
      </c>
      <c r="B95" s="30" t="s">
        <v>52</v>
      </c>
      <c r="C95" s="39" t="s">
        <v>62</v>
      </c>
      <c r="D95" s="17" t="s">
        <v>13</v>
      </c>
      <c r="E95" s="18">
        <f>SUM(E96:E98)</f>
        <v>40233258.940000005</v>
      </c>
      <c r="F95" s="18">
        <f t="shared" ref="F95:I95" si="43">SUM(F96:F98)</f>
        <v>37984085.209999993</v>
      </c>
      <c r="G95" s="18">
        <f t="shared" si="43"/>
        <v>22904658.729999997</v>
      </c>
      <c r="H95" s="18">
        <f t="shared" si="43"/>
        <v>24495371.710000001</v>
      </c>
      <c r="I95" s="18">
        <f t="shared" si="43"/>
        <v>15109702</v>
      </c>
    </row>
    <row r="96" spans="1:12" x14ac:dyDescent="0.25">
      <c r="A96" s="34"/>
      <c r="B96" s="31"/>
      <c r="C96" s="40"/>
      <c r="D96" s="26" t="s">
        <v>7</v>
      </c>
      <c r="E96" s="19"/>
      <c r="F96" s="19"/>
      <c r="G96" s="19"/>
      <c r="H96" s="19"/>
      <c r="I96" s="19"/>
    </row>
    <row r="97" spans="1:11" x14ac:dyDescent="0.25">
      <c r="A97" s="34"/>
      <c r="B97" s="31"/>
      <c r="C97" s="40"/>
      <c r="D97" s="26" t="s">
        <v>11</v>
      </c>
      <c r="E97" s="19"/>
      <c r="F97" s="19"/>
      <c r="G97" s="19"/>
      <c r="H97" s="19"/>
      <c r="I97" s="19"/>
    </row>
    <row r="98" spans="1:11" x14ac:dyDescent="0.25">
      <c r="A98" s="34"/>
      <c r="B98" s="31"/>
      <c r="C98" s="41"/>
      <c r="D98" s="25" t="s">
        <v>12</v>
      </c>
      <c r="E98" s="19">
        <f>40180754-0.01-540000+500000-295758-552350+43041.08-56257.58+953829.45</f>
        <v>40233258.940000005</v>
      </c>
      <c r="F98" s="19">
        <f>33100000-15000-53235.28-3300000-900000-1593.94+5728569.64+1021071.2+108145+2296128.59</f>
        <v>37984085.209999993</v>
      </c>
      <c r="G98" s="20">
        <f>29678319-7789649.89+570797.38+445192.24</f>
        <v>22904658.729999997</v>
      </c>
      <c r="H98" s="20">
        <f>20471800-299000+4000+111352+363000+230000+35000+3891737.32-25472.74-25000+6903.38-268948.25</f>
        <v>24495371.710000001</v>
      </c>
      <c r="I98" s="20">
        <f>15109702</f>
        <v>15109702</v>
      </c>
      <c r="K98" s="22"/>
    </row>
    <row r="99" spans="1:11" ht="16.95" customHeight="1" x14ac:dyDescent="0.25">
      <c r="A99" s="33">
        <v>2</v>
      </c>
      <c r="B99" s="30" t="s">
        <v>14</v>
      </c>
      <c r="C99" s="39" t="s">
        <v>62</v>
      </c>
      <c r="D99" s="17" t="s">
        <v>13</v>
      </c>
      <c r="E99" s="18">
        <f>SUM(E100:E102)</f>
        <v>168760390.72999999</v>
      </c>
      <c r="F99" s="18">
        <f t="shared" ref="F99:I99" si="44">SUM(F100:F102)</f>
        <v>180243707.56999999</v>
      </c>
      <c r="G99" s="18">
        <f t="shared" si="44"/>
        <v>197474100</v>
      </c>
      <c r="H99" s="18">
        <f t="shared" si="44"/>
        <v>208262772</v>
      </c>
      <c r="I99" s="18">
        <f t="shared" si="44"/>
        <v>177108900</v>
      </c>
    </row>
    <row r="100" spans="1:11" ht="16.95" customHeight="1" x14ac:dyDescent="0.25">
      <c r="A100" s="34"/>
      <c r="B100" s="31"/>
      <c r="C100" s="40"/>
      <c r="D100" s="26" t="s">
        <v>7</v>
      </c>
      <c r="E100" s="19"/>
      <c r="F100" s="19"/>
      <c r="G100" s="19"/>
      <c r="H100" s="19"/>
      <c r="I100" s="19"/>
    </row>
    <row r="101" spans="1:11" ht="16.95" customHeight="1" x14ac:dyDescent="0.25">
      <c r="A101" s="34"/>
      <c r="B101" s="31"/>
      <c r="C101" s="40"/>
      <c r="D101" s="26" t="s">
        <v>11</v>
      </c>
      <c r="E101" s="19">
        <f>164212248-3894252+1949700+6492694.73</f>
        <v>168760390.72999999</v>
      </c>
      <c r="F101" s="19">
        <f>178667294-6990894.08+2195500+7369100-997292.35</f>
        <v>180243707.56999999</v>
      </c>
      <c r="G101" s="19">
        <f>181900800+2290800+6820000+6462500</f>
        <v>197474100</v>
      </c>
      <c r="H101" s="19">
        <f>177108900+2188100-1000000+26745000-1388500+6187104-1577832</f>
        <v>208262772</v>
      </c>
      <c r="I101" s="19">
        <f>177108900</f>
        <v>177108900</v>
      </c>
    </row>
    <row r="102" spans="1:11" ht="16.95" customHeight="1" x14ac:dyDescent="0.25">
      <c r="A102" s="42"/>
      <c r="B102" s="32"/>
      <c r="C102" s="41"/>
      <c r="D102" s="25" t="s">
        <v>12</v>
      </c>
      <c r="E102" s="20"/>
      <c r="F102" s="20"/>
      <c r="G102" s="20"/>
      <c r="H102" s="20"/>
      <c r="I102" s="20"/>
    </row>
    <row r="103" spans="1:11" ht="33.75" customHeight="1" x14ac:dyDescent="0.25">
      <c r="A103" s="33">
        <v>3</v>
      </c>
      <c r="B103" s="30" t="s">
        <v>21</v>
      </c>
      <c r="C103" s="39" t="s">
        <v>62</v>
      </c>
      <c r="D103" s="17" t="s">
        <v>13</v>
      </c>
      <c r="E103" s="18">
        <f>SUM(E104:E106)</f>
        <v>14925600</v>
      </c>
      <c r="F103" s="18">
        <f t="shared" ref="F103:I103" si="45">SUM(F104:F106)</f>
        <v>15555500</v>
      </c>
      <c r="G103" s="18">
        <f t="shared" si="45"/>
        <v>16103200</v>
      </c>
      <c r="H103" s="18">
        <f t="shared" si="45"/>
        <v>29179600</v>
      </c>
      <c r="I103" s="18">
        <f t="shared" si="45"/>
        <v>16220400</v>
      </c>
    </row>
    <row r="104" spans="1:11" ht="33.75" customHeight="1" x14ac:dyDescent="0.25">
      <c r="A104" s="34"/>
      <c r="B104" s="31"/>
      <c r="C104" s="40"/>
      <c r="D104" s="26" t="s">
        <v>7</v>
      </c>
      <c r="E104" s="19">
        <v>14925600</v>
      </c>
      <c r="F104" s="19">
        <v>15555500</v>
      </c>
      <c r="G104" s="19">
        <f>16103200</f>
        <v>16103200</v>
      </c>
      <c r="H104" s="19">
        <f>16449800+2496700+10233100</f>
        <v>29179600</v>
      </c>
      <c r="I104" s="19">
        <f>16220400</f>
        <v>16220400</v>
      </c>
    </row>
    <row r="105" spans="1:11" ht="33.75" customHeight="1" x14ac:dyDescent="0.25">
      <c r="A105" s="34"/>
      <c r="B105" s="31"/>
      <c r="C105" s="40"/>
      <c r="D105" s="26" t="s">
        <v>11</v>
      </c>
      <c r="E105" s="19"/>
      <c r="F105" s="19"/>
      <c r="G105" s="19"/>
      <c r="H105" s="19"/>
      <c r="I105" s="19"/>
    </row>
    <row r="106" spans="1:11" ht="33.75" customHeight="1" x14ac:dyDescent="0.25">
      <c r="A106" s="34"/>
      <c r="B106" s="32"/>
      <c r="C106" s="41"/>
      <c r="D106" s="25" t="s">
        <v>12</v>
      </c>
      <c r="E106" s="20"/>
      <c r="F106" s="20"/>
      <c r="G106" s="20"/>
      <c r="H106" s="20"/>
      <c r="I106" s="20"/>
    </row>
    <row r="107" spans="1:11" ht="24" customHeight="1" x14ac:dyDescent="0.25">
      <c r="A107" s="34"/>
      <c r="B107" s="30" t="s">
        <v>105</v>
      </c>
      <c r="C107" s="39" t="s">
        <v>62</v>
      </c>
      <c r="D107" s="17" t="s">
        <v>13</v>
      </c>
      <c r="E107" s="18">
        <f>SUM(E108:E110)</f>
        <v>0</v>
      </c>
      <c r="F107" s="18">
        <f t="shared" ref="F107:I107" si="46">SUM(F108:F110)</f>
        <v>0</v>
      </c>
      <c r="G107" s="18">
        <f t="shared" si="46"/>
        <v>0</v>
      </c>
      <c r="H107" s="18">
        <f t="shared" si="46"/>
        <v>265800</v>
      </c>
      <c r="I107" s="18">
        <f t="shared" si="46"/>
        <v>0</v>
      </c>
    </row>
    <row r="108" spans="1:11" ht="24" customHeight="1" x14ac:dyDescent="0.25">
      <c r="A108" s="34"/>
      <c r="B108" s="31"/>
      <c r="C108" s="40"/>
      <c r="D108" s="26" t="s">
        <v>7</v>
      </c>
      <c r="E108" s="20"/>
      <c r="F108" s="20"/>
      <c r="G108" s="20"/>
      <c r="H108" s="20">
        <v>265800</v>
      </c>
      <c r="I108" s="20"/>
    </row>
    <row r="109" spans="1:11" ht="24" customHeight="1" x14ac:dyDescent="0.25">
      <c r="A109" s="34"/>
      <c r="B109" s="31"/>
      <c r="C109" s="40"/>
      <c r="D109" s="26" t="s">
        <v>11</v>
      </c>
      <c r="E109" s="20"/>
      <c r="F109" s="20"/>
      <c r="G109" s="20"/>
      <c r="H109" s="20"/>
      <c r="I109" s="20"/>
    </row>
    <row r="110" spans="1:11" ht="24" customHeight="1" x14ac:dyDescent="0.25">
      <c r="A110" s="42"/>
      <c r="B110" s="32"/>
      <c r="C110" s="41"/>
      <c r="D110" s="25" t="s">
        <v>12</v>
      </c>
      <c r="E110" s="20"/>
      <c r="F110" s="20"/>
      <c r="G110" s="20"/>
      <c r="H110" s="20"/>
      <c r="I110" s="20"/>
    </row>
    <row r="111" spans="1:11" ht="19.95" customHeight="1" x14ac:dyDescent="0.25">
      <c r="A111" s="33">
        <v>4</v>
      </c>
      <c r="B111" s="30" t="s">
        <v>106</v>
      </c>
      <c r="C111" s="39" t="s">
        <v>62</v>
      </c>
      <c r="D111" s="17" t="s">
        <v>13</v>
      </c>
      <c r="E111" s="18">
        <f>SUM(E112:E114)</f>
        <v>9285858.5899999999</v>
      </c>
      <c r="F111" s="18">
        <f t="shared" ref="F111:I111" si="47">SUM(F112:F114)</f>
        <v>3338787.89</v>
      </c>
      <c r="G111" s="18">
        <f t="shared" si="47"/>
        <v>1928080.82</v>
      </c>
      <c r="H111" s="18">
        <f t="shared" si="47"/>
        <v>4475353.55</v>
      </c>
      <c r="I111" s="18">
        <f t="shared" si="47"/>
        <v>1928080.81</v>
      </c>
    </row>
    <row r="112" spans="1:11" ht="19.95" customHeight="1" x14ac:dyDescent="0.25">
      <c r="A112" s="34"/>
      <c r="B112" s="31"/>
      <c r="C112" s="40"/>
      <c r="D112" s="26" t="s">
        <v>7</v>
      </c>
      <c r="E112" s="19"/>
      <c r="F112" s="19"/>
      <c r="G112" s="19"/>
      <c r="H112" s="19"/>
      <c r="I112" s="19"/>
    </row>
    <row r="113" spans="1:11" ht="19.95" customHeight="1" x14ac:dyDescent="0.25">
      <c r="A113" s="34"/>
      <c r="B113" s="31"/>
      <c r="C113" s="40"/>
      <c r="D113" s="26" t="s">
        <v>11</v>
      </c>
      <c r="E113" s="19">
        <f>2841200+1216800+5135000</f>
        <v>9193000</v>
      </c>
      <c r="F113" s="19">
        <f>1735300+157800+1412300</f>
        <v>3305400</v>
      </c>
      <c r="G113" s="19">
        <f>1908800</f>
        <v>1908800</v>
      </c>
      <c r="H113" s="19">
        <f>1908800+2521800</f>
        <v>4430600</v>
      </c>
      <c r="I113" s="19">
        <v>1908800</v>
      </c>
    </row>
    <row r="114" spans="1:11" ht="19.95" customHeight="1" x14ac:dyDescent="0.25">
      <c r="A114" s="42"/>
      <c r="B114" s="32"/>
      <c r="C114" s="41"/>
      <c r="D114" s="25" t="s">
        <v>12</v>
      </c>
      <c r="E114" s="20">
        <f>28698.98+12290.91+51868.69+0.01</f>
        <v>92858.59</v>
      </c>
      <c r="F114" s="20">
        <f>17528.29+1593.94+14265.66</f>
        <v>33387.89</v>
      </c>
      <c r="G114" s="20">
        <f>19280.82</f>
        <v>19280.82</v>
      </c>
      <c r="H114" s="20">
        <f>19280.81+25472.74</f>
        <v>44753.55</v>
      </c>
      <c r="I114" s="20">
        <v>19280.810000000001</v>
      </c>
      <c r="K114" s="22"/>
    </row>
    <row r="115" spans="1:11" x14ac:dyDescent="0.25">
      <c r="A115" s="33">
        <v>5</v>
      </c>
      <c r="B115" s="30" t="s">
        <v>107</v>
      </c>
      <c r="C115" s="39" t="s">
        <v>62</v>
      </c>
      <c r="D115" s="17" t="s">
        <v>13</v>
      </c>
      <c r="E115" s="18">
        <f>SUM(E116:E118)</f>
        <v>0</v>
      </c>
      <c r="F115" s="18">
        <f t="shared" ref="F115:I115" si="48">SUM(F116:F118)</f>
        <v>0</v>
      </c>
      <c r="G115" s="18">
        <f t="shared" si="48"/>
        <v>21823970</v>
      </c>
      <c r="H115" s="18">
        <f t="shared" si="48"/>
        <v>28370800</v>
      </c>
      <c r="I115" s="18">
        <f t="shared" si="48"/>
        <v>23515518.289999999</v>
      </c>
      <c r="K115" s="22"/>
    </row>
    <row r="116" spans="1:11" x14ac:dyDescent="0.25">
      <c r="A116" s="34"/>
      <c r="B116" s="31"/>
      <c r="C116" s="40"/>
      <c r="D116" s="26" t="s">
        <v>7</v>
      </c>
      <c r="E116" s="19"/>
      <c r="F116" s="19"/>
      <c r="G116" s="19"/>
      <c r="H116" s="19"/>
      <c r="I116" s="19"/>
      <c r="K116" s="22"/>
    </row>
    <row r="117" spans="1:11" x14ac:dyDescent="0.25">
      <c r="A117" s="34"/>
      <c r="B117" s="31"/>
      <c r="C117" s="40"/>
      <c r="D117" s="26" t="s">
        <v>11</v>
      </c>
      <c r="E117" s="19"/>
      <c r="F117" s="19"/>
      <c r="G117" s="19">
        <f>15276779</f>
        <v>15276779</v>
      </c>
      <c r="H117" s="19">
        <f>16401866+11500+2000+1300+3358894</f>
        <v>19775560</v>
      </c>
      <c r="I117" s="19">
        <v>16381252</v>
      </c>
      <c r="K117" s="22"/>
    </row>
    <row r="118" spans="1:11" x14ac:dyDescent="0.25">
      <c r="A118" s="42"/>
      <c r="B118" s="32"/>
      <c r="C118" s="41"/>
      <c r="D118" s="25" t="s">
        <v>12</v>
      </c>
      <c r="E118" s="20"/>
      <c r="F118" s="20"/>
      <c r="G118" s="20">
        <f>6547191</f>
        <v>6547191</v>
      </c>
      <c r="H118" s="20">
        <f>7140914+11500+2000+1300+1439526</f>
        <v>8595240</v>
      </c>
      <c r="I118" s="20">
        <v>7134266.29</v>
      </c>
      <c r="K118" s="22"/>
    </row>
    <row r="119" spans="1:11" ht="17.399999999999999" customHeight="1" x14ac:dyDescent="0.25">
      <c r="A119" s="33">
        <v>6</v>
      </c>
      <c r="B119" s="30" t="s">
        <v>108</v>
      </c>
      <c r="C119" s="39" t="s">
        <v>62</v>
      </c>
      <c r="D119" s="17" t="s">
        <v>13</v>
      </c>
      <c r="E119" s="18">
        <f>SUM(E120:E122)</f>
        <v>0</v>
      </c>
      <c r="F119" s="18">
        <f t="shared" ref="F119:I119" si="49">SUM(F120:F122)</f>
        <v>0</v>
      </c>
      <c r="G119" s="18">
        <f t="shared" si="49"/>
        <v>528380</v>
      </c>
      <c r="H119" s="18">
        <f t="shared" si="49"/>
        <v>2335528</v>
      </c>
      <c r="I119" s="18">
        <f t="shared" si="49"/>
        <v>2335520</v>
      </c>
      <c r="K119" s="22"/>
    </row>
    <row r="120" spans="1:11" ht="17.399999999999999" customHeight="1" x14ac:dyDescent="0.25">
      <c r="A120" s="34"/>
      <c r="B120" s="31"/>
      <c r="C120" s="40"/>
      <c r="D120" s="26" t="s">
        <v>7</v>
      </c>
      <c r="E120" s="19"/>
      <c r="F120" s="19"/>
      <c r="G120" s="19">
        <v>501961</v>
      </c>
      <c r="H120" s="19">
        <f>2080655.8+138095.8</f>
        <v>2218751.6</v>
      </c>
      <c r="I120" s="19">
        <f>2213908.5+4835.5</f>
        <v>2218744</v>
      </c>
      <c r="K120" s="22"/>
    </row>
    <row r="121" spans="1:11" ht="17.399999999999999" customHeight="1" x14ac:dyDescent="0.25">
      <c r="A121" s="34"/>
      <c r="B121" s="31"/>
      <c r="C121" s="40"/>
      <c r="D121" s="26" t="s">
        <v>11</v>
      </c>
      <c r="E121" s="19"/>
      <c r="F121" s="19"/>
      <c r="G121" s="19">
        <v>26419</v>
      </c>
      <c r="H121" s="19">
        <f>109508.2+7268.2</f>
        <v>116776.4</v>
      </c>
      <c r="I121" s="19">
        <f>116521.5+254.5</f>
        <v>116776</v>
      </c>
      <c r="K121" s="22"/>
    </row>
    <row r="122" spans="1:11" ht="17.399999999999999" customHeight="1" x14ac:dyDescent="0.25">
      <c r="A122" s="42"/>
      <c r="B122" s="32"/>
      <c r="C122" s="41"/>
      <c r="D122" s="25" t="s">
        <v>12</v>
      </c>
      <c r="E122" s="20"/>
      <c r="F122" s="20"/>
      <c r="G122" s="20"/>
      <c r="H122" s="20"/>
      <c r="I122" s="20"/>
      <c r="K122" s="22"/>
    </row>
    <row r="123" spans="1:11" s="21" customFormat="1" ht="24.15" customHeight="1" x14ac:dyDescent="0.25">
      <c r="A123" s="33">
        <v>7</v>
      </c>
      <c r="B123" s="57" t="s">
        <v>109</v>
      </c>
      <c r="C123" s="39" t="s">
        <v>62</v>
      </c>
      <c r="D123" s="17" t="s">
        <v>13</v>
      </c>
      <c r="E123" s="18">
        <f>SUM(E124:E126)</f>
        <v>330539.3</v>
      </c>
      <c r="F123" s="18">
        <f t="shared" ref="F123:I123" si="50">SUM(F124:F126)</f>
        <v>350200</v>
      </c>
      <c r="G123" s="18">
        <f t="shared" si="50"/>
        <v>307200</v>
      </c>
      <c r="H123" s="18">
        <f t="shared" si="50"/>
        <v>303400</v>
      </c>
      <c r="I123" s="18">
        <f t="shared" si="50"/>
        <v>403400</v>
      </c>
    </row>
    <row r="124" spans="1:11" s="21" customFormat="1" ht="24.15" customHeight="1" x14ac:dyDescent="0.25">
      <c r="A124" s="34"/>
      <c r="B124" s="57"/>
      <c r="C124" s="40"/>
      <c r="D124" s="26" t="s">
        <v>7</v>
      </c>
      <c r="E124" s="19"/>
      <c r="F124" s="19"/>
      <c r="G124" s="19"/>
      <c r="H124" s="19"/>
      <c r="I124" s="19"/>
    </row>
    <row r="125" spans="1:11" s="21" customFormat="1" ht="24.15" customHeight="1" x14ac:dyDescent="0.25">
      <c r="A125" s="34"/>
      <c r="B125" s="57"/>
      <c r="C125" s="40"/>
      <c r="D125" s="26" t="s">
        <v>11</v>
      </c>
      <c r="E125" s="19">
        <f>303000+1200+25000+1339.3</f>
        <v>330539.3</v>
      </c>
      <c r="F125" s="19">
        <v>350200</v>
      </c>
      <c r="G125" s="19">
        <f>363200-56000</f>
        <v>307200</v>
      </c>
      <c r="H125" s="19">
        <f>403400-100000</f>
        <v>303400</v>
      </c>
      <c r="I125" s="19">
        <v>403400</v>
      </c>
    </row>
    <row r="126" spans="1:11" s="21" customFormat="1" ht="24.15" customHeight="1" x14ac:dyDescent="0.25">
      <c r="A126" s="42"/>
      <c r="B126" s="57"/>
      <c r="C126" s="41"/>
      <c r="D126" s="25" t="s">
        <v>12</v>
      </c>
      <c r="E126" s="20"/>
      <c r="F126" s="20"/>
      <c r="G126" s="20"/>
      <c r="H126" s="20"/>
      <c r="I126" s="20"/>
    </row>
    <row r="127" spans="1:11" s="21" customFormat="1" ht="16.95" customHeight="1" x14ac:dyDescent="0.25">
      <c r="A127" s="33">
        <v>8</v>
      </c>
      <c r="B127" s="57" t="s">
        <v>110</v>
      </c>
      <c r="C127" s="39" t="s">
        <v>62</v>
      </c>
      <c r="D127" s="17" t="s">
        <v>13</v>
      </c>
      <c r="E127" s="18">
        <f>SUM(E128:E130)</f>
        <v>9579696.9700000007</v>
      </c>
      <c r="F127" s="18">
        <f t="shared" ref="F127:I127" si="51">SUM(F128:F130)</f>
        <v>9606565.6600000001</v>
      </c>
      <c r="G127" s="18">
        <f t="shared" si="51"/>
        <v>9438787.8800000008</v>
      </c>
      <c r="H127" s="18">
        <f t="shared" si="51"/>
        <v>8712288.2200000007</v>
      </c>
      <c r="I127" s="18">
        <f t="shared" si="51"/>
        <v>9002929.3000000007</v>
      </c>
    </row>
    <row r="128" spans="1:11" s="21" customFormat="1" ht="16.95" customHeight="1" x14ac:dyDescent="0.25">
      <c r="A128" s="34"/>
      <c r="B128" s="57"/>
      <c r="C128" s="40"/>
      <c r="D128" s="26" t="s">
        <v>7</v>
      </c>
      <c r="E128" s="19">
        <v>6638729.6600000001</v>
      </c>
      <c r="F128" s="19">
        <f>6847561.46-1.47</f>
        <v>6847559.9900000002</v>
      </c>
      <c r="G128" s="19">
        <f>5843735.99+884231.99</f>
        <v>6727967.9800000004</v>
      </c>
      <c r="H128" s="19">
        <f>6702191.99-492072.96</f>
        <v>6210119.0300000003</v>
      </c>
      <c r="I128" s="19">
        <v>6862932.9900000002</v>
      </c>
    </row>
    <row r="129" spans="1:9" s="21" customFormat="1" ht="16.95" customHeight="1" x14ac:dyDescent="0.25">
      <c r="A129" s="34"/>
      <c r="B129" s="57"/>
      <c r="C129" s="40"/>
      <c r="D129" s="26" t="s">
        <v>11</v>
      </c>
      <c r="E129" s="19">
        <v>2845170.34</v>
      </c>
      <c r="F129" s="19">
        <f>2662938.54+1.47</f>
        <v>2662940.0100000002</v>
      </c>
      <c r="G129" s="19">
        <f>2272564.01+343868.01</f>
        <v>2616432.0199999996</v>
      </c>
      <c r="H129" s="19">
        <f>2606408.01-191361.71</f>
        <v>2415046.2999999998</v>
      </c>
      <c r="I129" s="19">
        <v>2049967.01</v>
      </c>
    </row>
    <row r="130" spans="1:9" s="21" customFormat="1" ht="16.95" customHeight="1" x14ac:dyDescent="0.25">
      <c r="A130" s="42"/>
      <c r="B130" s="57"/>
      <c r="C130" s="41"/>
      <c r="D130" s="25" t="s">
        <v>12</v>
      </c>
      <c r="E130" s="20">
        <v>95796.97</v>
      </c>
      <c r="F130" s="20">
        <f>96065.66</f>
        <v>96065.66</v>
      </c>
      <c r="G130" s="20">
        <f>94387.88</f>
        <v>94387.88</v>
      </c>
      <c r="H130" s="20">
        <f>94026.27-6903.38</f>
        <v>87122.89</v>
      </c>
      <c r="I130" s="20">
        <v>90029.3</v>
      </c>
    </row>
    <row r="131" spans="1:9" s="21" customFormat="1" ht="13.95" customHeight="1" x14ac:dyDescent="0.25">
      <c r="A131" s="35" t="s">
        <v>89</v>
      </c>
      <c r="B131" s="36"/>
      <c r="C131" s="36"/>
      <c r="D131" s="36"/>
      <c r="E131" s="36"/>
      <c r="F131" s="36"/>
      <c r="G131" s="36"/>
      <c r="H131" s="36"/>
      <c r="I131" s="37"/>
    </row>
    <row r="132" spans="1:9" s="21" customFormat="1" ht="13.2" x14ac:dyDescent="0.25">
      <c r="A132" s="33">
        <v>9</v>
      </c>
      <c r="B132" s="30" t="s">
        <v>23</v>
      </c>
      <c r="C132" s="39" t="s">
        <v>62</v>
      </c>
      <c r="D132" s="17" t="s">
        <v>13</v>
      </c>
      <c r="E132" s="18">
        <f>SUM(E133:E135)</f>
        <v>235179.17</v>
      </c>
      <c r="F132" s="18">
        <f t="shared" ref="F132:I132" si="52">SUM(F133:F135)</f>
        <v>95794.240000000005</v>
      </c>
      <c r="G132" s="18">
        <f t="shared" si="52"/>
        <v>33580</v>
      </c>
      <c r="H132" s="18">
        <f t="shared" si="52"/>
        <v>0</v>
      </c>
      <c r="I132" s="18">
        <f t="shared" si="52"/>
        <v>0</v>
      </c>
    </row>
    <row r="133" spans="1:9" s="21" customFormat="1" ht="13.2" x14ac:dyDescent="0.25">
      <c r="A133" s="34"/>
      <c r="B133" s="31"/>
      <c r="C133" s="40"/>
      <c r="D133" s="26" t="s">
        <v>7</v>
      </c>
      <c r="E133" s="19"/>
      <c r="F133" s="19"/>
      <c r="G133" s="19"/>
      <c r="H133" s="19"/>
      <c r="I133" s="19"/>
    </row>
    <row r="134" spans="1:9" s="21" customFormat="1" ht="13.2" x14ac:dyDescent="0.25">
      <c r="A134" s="34"/>
      <c r="B134" s="31"/>
      <c r="C134" s="40"/>
      <c r="D134" s="26" t="s">
        <v>11</v>
      </c>
      <c r="E134" s="19"/>
      <c r="F134" s="19"/>
      <c r="G134" s="19"/>
      <c r="H134" s="19"/>
      <c r="I134" s="19"/>
    </row>
    <row r="135" spans="1:9" s="21" customFormat="1" ht="13.2" x14ac:dyDescent="0.25">
      <c r="A135" s="42"/>
      <c r="B135" s="32"/>
      <c r="C135" s="41"/>
      <c r="D135" s="25" t="s">
        <v>12</v>
      </c>
      <c r="E135" s="20">
        <f>226800+8379.17</f>
        <v>235179.17</v>
      </c>
      <c r="F135" s="20">
        <f>264240-168445.75-0.01</f>
        <v>95794.240000000005</v>
      </c>
      <c r="G135" s="20">
        <f>79200-45620</f>
        <v>33580</v>
      </c>
      <c r="H135" s="20"/>
      <c r="I135" s="20"/>
    </row>
    <row r="136" spans="1:9" s="21" customFormat="1" ht="13.2" x14ac:dyDescent="0.25">
      <c r="A136" s="33">
        <v>10</v>
      </c>
      <c r="B136" s="30" t="s">
        <v>24</v>
      </c>
      <c r="C136" s="39" t="s">
        <v>62</v>
      </c>
      <c r="D136" s="17" t="s">
        <v>13</v>
      </c>
      <c r="E136" s="18">
        <f>SUM(E137:E139)</f>
        <v>0</v>
      </c>
      <c r="F136" s="18">
        <f t="shared" ref="F136:I136" si="53">SUM(F137:F139)</f>
        <v>25000</v>
      </c>
      <c r="G136" s="18">
        <f t="shared" si="53"/>
        <v>0</v>
      </c>
      <c r="H136" s="18">
        <f t="shared" si="53"/>
        <v>25000</v>
      </c>
      <c r="I136" s="18">
        <f t="shared" si="53"/>
        <v>0</v>
      </c>
    </row>
    <row r="137" spans="1:9" s="21" customFormat="1" ht="13.2" x14ac:dyDescent="0.25">
      <c r="A137" s="34"/>
      <c r="B137" s="31"/>
      <c r="C137" s="40"/>
      <c r="D137" s="26" t="s">
        <v>7</v>
      </c>
      <c r="E137" s="19"/>
      <c r="F137" s="19"/>
      <c r="G137" s="19"/>
      <c r="H137" s="19"/>
      <c r="I137" s="19"/>
    </row>
    <row r="138" spans="1:9" s="21" customFormat="1" ht="13.2" x14ac:dyDescent="0.25">
      <c r="A138" s="34"/>
      <c r="B138" s="31"/>
      <c r="C138" s="40"/>
      <c r="D138" s="26" t="s">
        <v>11</v>
      </c>
      <c r="E138" s="19"/>
      <c r="F138" s="19"/>
      <c r="G138" s="19"/>
      <c r="H138" s="19"/>
      <c r="I138" s="19"/>
    </row>
    <row r="139" spans="1:9" s="21" customFormat="1" ht="13.2" x14ac:dyDescent="0.25">
      <c r="A139" s="42"/>
      <c r="B139" s="32"/>
      <c r="C139" s="41"/>
      <c r="D139" s="25" t="s">
        <v>12</v>
      </c>
      <c r="E139" s="20"/>
      <c r="F139" s="20">
        <v>25000</v>
      </c>
      <c r="G139" s="20"/>
      <c r="H139" s="20">
        <v>25000</v>
      </c>
      <c r="I139" s="20"/>
    </row>
    <row r="140" spans="1:9" s="21" customFormat="1" ht="37.200000000000003" customHeight="1" x14ac:dyDescent="0.25">
      <c r="A140" s="33">
        <v>11</v>
      </c>
      <c r="B140" s="30" t="s">
        <v>75</v>
      </c>
      <c r="C140" s="39" t="s">
        <v>62</v>
      </c>
      <c r="D140" s="17" t="s">
        <v>13</v>
      </c>
      <c r="E140" s="18">
        <f>SUM(E141:E143)</f>
        <v>154068.16</v>
      </c>
      <c r="F140" s="18">
        <f t="shared" ref="F140:I140" si="54">SUM(F141:F143)</f>
        <v>750000</v>
      </c>
      <c r="G140" s="18">
        <f t="shared" si="54"/>
        <v>0</v>
      </c>
      <c r="H140" s="18">
        <f t="shared" si="54"/>
        <v>0</v>
      </c>
      <c r="I140" s="18">
        <f t="shared" si="54"/>
        <v>0</v>
      </c>
    </row>
    <row r="141" spans="1:9" s="21" customFormat="1" ht="37.200000000000003" customHeight="1" x14ac:dyDescent="0.25">
      <c r="A141" s="34"/>
      <c r="B141" s="31"/>
      <c r="C141" s="40"/>
      <c r="D141" s="26" t="s">
        <v>7</v>
      </c>
      <c r="E141" s="19"/>
      <c r="F141" s="19"/>
      <c r="G141" s="19"/>
      <c r="H141" s="19"/>
      <c r="I141" s="19"/>
    </row>
    <row r="142" spans="1:9" s="21" customFormat="1" ht="37.200000000000003" customHeight="1" x14ac:dyDescent="0.25">
      <c r="A142" s="34"/>
      <c r="B142" s="31"/>
      <c r="C142" s="40"/>
      <c r="D142" s="26" t="s">
        <v>11</v>
      </c>
      <c r="E142" s="19"/>
      <c r="F142" s="19"/>
      <c r="G142" s="19"/>
      <c r="H142" s="19"/>
      <c r="I142" s="19"/>
    </row>
    <row r="143" spans="1:9" s="21" customFormat="1" ht="37.200000000000003" customHeight="1" x14ac:dyDescent="0.25">
      <c r="A143" s="42"/>
      <c r="B143" s="32"/>
      <c r="C143" s="41"/>
      <c r="D143" s="25" t="s">
        <v>12</v>
      </c>
      <c r="E143" s="20">
        <v>154068.16</v>
      </c>
      <c r="F143" s="20">
        <f>500000+250000</f>
        <v>750000</v>
      </c>
      <c r="G143" s="20"/>
      <c r="H143" s="20"/>
      <c r="I143" s="20"/>
    </row>
    <row r="144" spans="1:9" s="21" customFormat="1" ht="13.2" x14ac:dyDescent="0.25">
      <c r="A144" s="33">
        <v>12</v>
      </c>
      <c r="B144" s="30" t="s">
        <v>76</v>
      </c>
      <c r="C144" s="39" t="s">
        <v>62</v>
      </c>
      <c r="D144" s="17" t="s">
        <v>13</v>
      </c>
      <c r="E144" s="18">
        <f>SUM(E145:E147)</f>
        <v>0</v>
      </c>
      <c r="F144" s="18">
        <f t="shared" ref="F144:I144" si="55">SUM(F145:F147)</f>
        <v>0</v>
      </c>
      <c r="G144" s="18">
        <f t="shared" si="55"/>
        <v>0</v>
      </c>
      <c r="H144" s="18">
        <f t="shared" si="55"/>
        <v>0</v>
      </c>
      <c r="I144" s="18">
        <f t="shared" si="55"/>
        <v>0</v>
      </c>
    </row>
    <row r="145" spans="1:9" s="21" customFormat="1" ht="13.2" x14ac:dyDescent="0.25">
      <c r="A145" s="34"/>
      <c r="B145" s="31"/>
      <c r="C145" s="40"/>
      <c r="D145" s="26" t="s">
        <v>7</v>
      </c>
      <c r="E145" s="19"/>
      <c r="F145" s="19"/>
      <c r="G145" s="19"/>
      <c r="H145" s="19"/>
      <c r="I145" s="19"/>
    </row>
    <row r="146" spans="1:9" s="21" customFormat="1" ht="13.2" x14ac:dyDescent="0.25">
      <c r="A146" s="34"/>
      <c r="B146" s="31"/>
      <c r="C146" s="40"/>
      <c r="D146" s="26" t="s">
        <v>11</v>
      </c>
      <c r="E146" s="19"/>
      <c r="F146" s="19"/>
      <c r="G146" s="19"/>
      <c r="H146" s="19"/>
      <c r="I146" s="19"/>
    </row>
    <row r="147" spans="1:9" s="21" customFormat="1" ht="13.2" x14ac:dyDescent="0.25">
      <c r="A147" s="42"/>
      <c r="B147" s="32"/>
      <c r="C147" s="41"/>
      <c r="D147" s="25" t="s">
        <v>12</v>
      </c>
      <c r="E147" s="20"/>
      <c r="F147" s="20"/>
      <c r="G147" s="20"/>
      <c r="H147" s="20"/>
      <c r="I147" s="20"/>
    </row>
    <row r="148" spans="1:9" s="21" customFormat="1" ht="13.2" x14ac:dyDescent="0.25">
      <c r="A148" s="33">
        <v>13</v>
      </c>
      <c r="B148" s="30" t="s">
        <v>77</v>
      </c>
      <c r="C148" s="39" t="s">
        <v>62</v>
      </c>
      <c r="D148" s="17" t="s">
        <v>13</v>
      </c>
      <c r="E148" s="18">
        <f>SUM(E149:E151)</f>
        <v>6108834.4799999995</v>
      </c>
      <c r="F148" s="18">
        <f t="shared" ref="F148:I148" si="56">SUM(F149:F151)</f>
        <v>4078520.11</v>
      </c>
      <c r="G148" s="18">
        <f t="shared" si="56"/>
        <v>1046969.08</v>
      </c>
      <c r="H148" s="18">
        <f t="shared" si="56"/>
        <v>4306451.2699999996</v>
      </c>
      <c r="I148" s="18">
        <f t="shared" si="56"/>
        <v>1943111.12</v>
      </c>
    </row>
    <row r="149" spans="1:9" s="21" customFormat="1" ht="13.2" x14ac:dyDescent="0.25">
      <c r="A149" s="34"/>
      <c r="B149" s="31"/>
      <c r="C149" s="40"/>
      <c r="D149" s="26" t="s">
        <v>7</v>
      </c>
      <c r="E149" s="19"/>
      <c r="F149" s="19"/>
      <c r="G149" s="19"/>
      <c r="H149" s="19">
        <f>1631700+874946.9</f>
        <v>2506646.9</v>
      </c>
      <c r="I149" s="19"/>
    </row>
    <row r="150" spans="1:9" s="21" customFormat="1" ht="13.2" x14ac:dyDescent="0.25">
      <c r="A150" s="34"/>
      <c r="B150" s="31"/>
      <c r="C150" s="40"/>
      <c r="D150" s="26" t="s">
        <v>11</v>
      </c>
      <c r="E150" s="19">
        <f>1957200+3540751.03</f>
        <v>5497951.0299999993</v>
      </c>
      <c r="F150" s="19">
        <f>775718.1+36000+1754600+1104350</f>
        <v>3670668.1</v>
      </c>
      <c r="G150" s="19">
        <f>509300</f>
        <v>509300</v>
      </c>
      <c r="H150" s="19">
        <f>1233000+85879+46053.1+4227.13</f>
        <v>1369159.23</v>
      </c>
      <c r="I150" s="19">
        <f>1748800</f>
        <v>1748800</v>
      </c>
    </row>
    <row r="151" spans="1:9" s="21" customFormat="1" ht="13.2" x14ac:dyDescent="0.25">
      <c r="A151" s="34"/>
      <c r="B151" s="32"/>
      <c r="C151" s="41"/>
      <c r="D151" s="25" t="s">
        <v>12</v>
      </c>
      <c r="E151" s="20">
        <f>217466.67+393416.78</f>
        <v>610883.45000000007</v>
      </c>
      <c r="F151" s="20">
        <f>86190.9+194955.56+4000+122705.55</f>
        <v>407852.00999999995</v>
      </c>
      <c r="G151" s="20">
        <f>56588.89+481080.19</f>
        <v>537669.07999999996</v>
      </c>
      <c r="H151" s="20">
        <f>137000+190842.12+102333.34+469.68</f>
        <v>430645.13999999996</v>
      </c>
      <c r="I151" s="20">
        <f>194311.12</f>
        <v>194311.12</v>
      </c>
    </row>
    <row r="152" spans="1:9" s="21" customFormat="1" ht="13.2" x14ac:dyDescent="0.25">
      <c r="A152" s="38">
        <v>14</v>
      </c>
      <c r="B152" s="30" t="s">
        <v>78</v>
      </c>
      <c r="C152" s="39" t="s">
        <v>62</v>
      </c>
      <c r="D152" s="17" t="s">
        <v>13</v>
      </c>
      <c r="E152" s="18">
        <f>SUM(E153:E155)</f>
        <v>0</v>
      </c>
      <c r="F152" s="18">
        <f t="shared" ref="F152:I152" si="57">SUM(F153:F155)</f>
        <v>0</v>
      </c>
      <c r="G152" s="18">
        <f t="shared" si="57"/>
        <v>0</v>
      </c>
      <c r="H152" s="18">
        <f t="shared" si="57"/>
        <v>0</v>
      </c>
      <c r="I152" s="18">
        <f t="shared" si="57"/>
        <v>0</v>
      </c>
    </row>
    <row r="153" spans="1:9" s="21" customFormat="1" ht="13.2" x14ac:dyDescent="0.25">
      <c r="A153" s="38"/>
      <c r="B153" s="31"/>
      <c r="C153" s="40"/>
      <c r="D153" s="26" t="s">
        <v>7</v>
      </c>
      <c r="E153" s="19"/>
      <c r="F153" s="19"/>
      <c r="G153" s="19"/>
      <c r="H153" s="19"/>
      <c r="I153" s="19"/>
    </row>
    <row r="154" spans="1:9" s="21" customFormat="1" ht="13.2" x14ac:dyDescent="0.25">
      <c r="A154" s="38"/>
      <c r="B154" s="31"/>
      <c r="C154" s="40"/>
      <c r="D154" s="26" t="s">
        <v>11</v>
      </c>
      <c r="E154" s="19"/>
      <c r="F154" s="19"/>
      <c r="G154" s="19"/>
      <c r="H154" s="19"/>
      <c r="I154" s="19"/>
    </row>
    <row r="155" spans="1:9" s="21" customFormat="1" ht="13.2" x14ac:dyDescent="0.25">
      <c r="A155" s="38"/>
      <c r="B155" s="32"/>
      <c r="C155" s="41"/>
      <c r="D155" s="25" t="s">
        <v>12</v>
      </c>
      <c r="E155" s="20"/>
      <c r="F155" s="20"/>
      <c r="G155" s="20"/>
      <c r="H155" s="20"/>
      <c r="I155" s="20"/>
    </row>
    <row r="156" spans="1:9" s="21" customFormat="1" ht="13.2" x14ac:dyDescent="0.25">
      <c r="A156" s="38">
        <v>15</v>
      </c>
      <c r="B156" s="30" t="s">
        <v>79</v>
      </c>
      <c r="C156" s="39" t="s">
        <v>62</v>
      </c>
      <c r="D156" s="17" t="s">
        <v>13</v>
      </c>
      <c r="E156" s="18">
        <f>SUM(E157:E159)</f>
        <v>0</v>
      </c>
      <c r="F156" s="18">
        <f t="shared" ref="F156:I156" si="58">SUM(F157:F159)</f>
        <v>0</v>
      </c>
      <c r="G156" s="18">
        <f t="shared" si="58"/>
        <v>0</v>
      </c>
      <c r="H156" s="18">
        <f t="shared" si="58"/>
        <v>0</v>
      </c>
      <c r="I156" s="18">
        <f t="shared" si="58"/>
        <v>0</v>
      </c>
    </row>
    <row r="157" spans="1:9" s="21" customFormat="1" ht="13.2" x14ac:dyDescent="0.25">
      <c r="A157" s="38"/>
      <c r="B157" s="31"/>
      <c r="C157" s="40"/>
      <c r="D157" s="26" t="s">
        <v>7</v>
      </c>
      <c r="E157" s="19"/>
      <c r="F157" s="19"/>
      <c r="G157" s="19"/>
      <c r="H157" s="19"/>
      <c r="I157" s="19"/>
    </row>
    <row r="158" spans="1:9" s="21" customFormat="1" ht="13.2" x14ac:dyDescent="0.25">
      <c r="A158" s="38"/>
      <c r="B158" s="31"/>
      <c r="C158" s="40"/>
      <c r="D158" s="26" t="s">
        <v>11</v>
      </c>
      <c r="E158" s="19"/>
      <c r="F158" s="19"/>
      <c r="G158" s="19"/>
      <c r="H158" s="19"/>
      <c r="I158" s="19"/>
    </row>
    <row r="159" spans="1:9" s="21" customFormat="1" ht="13.2" x14ac:dyDescent="0.25">
      <c r="A159" s="38"/>
      <c r="B159" s="32"/>
      <c r="C159" s="41"/>
      <c r="D159" s="25" t="s">
        <v>12</v>
      </c>
      <c r="E159" s="20"/>
      <c r="F159" s="20"/>
      <c r="G159" s="20"/>
      <c r="H159" s="20"/>
      <c r="I159" s="20"/>
    </row>
    <row r="160" spans="1:9" s="21" customFormat="1" ht="13.2" x14ac:dyDescent="0.25">
      <c r="A160" s="38">
        <v>16</v>
      </c>
      <c r="B160" s="30" t="s">
        <v>80</v>
      </c>
      <c r="C160" s="39" t="s">
        <v>62</v>
      </c>
      <c r="D160" s="17" t="s">
        <v>13</v>
      </c>
      <c r="E160" s="18">
        <f t="shared" ref="E160:I160" si="59">SUM(E161:E163)</f>
        <v>0</v>
      </c>
      <c r="F160" s="18">
        <f t="shared" si="59"/>
        <v>0</v>
      </c>
      <c r="G160" s="18">
        <f t="shared" si="59"/>
        <v>0</v>
      </c>
      <c r="H160" s="18">
        <f t="shared" si="59"/>
        <v>1231300</v>
      </c>
      <c r="I160" s="18">
        <f t="shared" si="59"/>
        <v>0</v>
      </c>
    </row>
    <row r="161" spans="1:9" s="21" customFormat="1" ht="13.2" x14ac:dyDescent="0.25">
      <c r="A161" s="38"/>
      <c r="B161" s="31"/>
      <c r="C161" s="40"/>
      <c r="D161" s="26" t="s">
        <v>7</v>
      </c>
      <c r="E161" s="19"/>
      <c r="F161" s="19"/>
      <c r="G161" s="19"/>
      <c r="H161" s="19"/>
      <c r="I161" s="19"/>
    </row>
    <row r="162" spans="1:9" s="21" customFormat="1" ht="13.2" x14ac:dyDescent="0.25">
      <c r="A162" s="38"/>
      <c r="B162" s="31"/>
      <c r="C162" s="40"/>
      <c r="D162" s="26" t="s">
        <v>11</v>
      </c>
      <c r="E162" s="19"/>
      <c r="F162" s="19"/>
      <c r="G162" s="19"/>
      <c r="H162" s="19"/>
      <c r="I162" s="19"/>
    </row>
    <row r="163" spans="1:9" s="21" customFormat="1" ht="13.2" x14ac:dyDescent="0.25">
      <c r="A163" s="38"/>
      <c r="B163" s="32"/>
      <c r="C163" s="41"/>
      <c r="D163" s="25" t="s">
        <v>12</v>
      </c>
      <c r="E163" s="20"/>
      <c r="F163" s="20"/>
      <c r="G163" s="20"/>
      <c r="H163" s="20">
        <f>800000+431300</f>
        <v>1231300</v>
      </c>
      <c r="I163" s="20"/>
    </row>
    <row r="164" spans="1:9" s="21" customFormat="1" ht="13.2" x14ac:dyDescent="0.25">
      <c r="A164" s="38">
        <v>17</v>
      </c>
      <c r="B164" s="30" t="s">
        <v>81</v>
      </c>
      <c r="C164" s="39" t="s">
        <v>62</v>
      </c>
      <c r="D164" s="17" t="s">
        <v>13</v>
      </c>
      <c r="E164" s="18">
        <f t="shared" ref="E164:I164" si="60">SUM(E165:E167)</f>
        <v>0</v>
      </c>
      <c r="F164" s="18">
        <f t="shared" si="60"/>
        <v>0</v>
      </c>
      <c r="G164" s="18">
        <f t="shared" si="60"/>
        <v>19820</v>
      </c>
      <c r="H164" s="18">
        <f t="shared" si="60"/>
        <v>29900</v>
      </c>
      <c r="I164" s="18">
        <f t="shared" si="60"/>
        <v>0</v>
      </c>
    </row>
    <row r="165" spans="1:9" s="21" customFormat="1" ht="13.2" x14ac:dyDescent="0.25">
      <c r="A165" s="38"/>
      <c r="B165" s="31"/>
      <c r="C165" s="40"/>
      <c r="D165" s="26" t="s">
        <v>7</v>
      </c>
      <c r="E165" s="19"/>
      <c r="F165" s="19"/>
      <c r="G165" s="19"/>
      <c r="H165" s="19"/>
      <c r="I165" s="19"/>
    </row>
    <row r="166" spans="1:9" s="21" customFormat="1" ht="13.2" x14ac:dyDescent="0.25">
      <c r="A166" s="38"/>
      <c r="B166" s="31"/>
      <c r="C166" s="40"/>
      <c r="D166" s="26" t="s">
        <v>11</v>
      </c>
      <c r="E166" s="19"/>
      <c r="F166" s="19"/>
      <c r="G166" s="19"/>
      <c r="H166" s="19"/>
      <c r="I166" s="19"/>
    </row>
    <row r="167" spans="1:9" s="21" customFormat="1" ht="13.2" x14ac:dyDescent="0.25">
      <c r="A167" s="38"/>
      <c r="B167" s="32"/>
      <c r="C167" s="41"/>
      <c r="D167" s="25" t="s">
        <v>12</v>
      </c>
      <c r="E167" s="20"/>
      <c r="F167" s="20"/>
      <c r="G167" s="20">
        <v>19820</v>
      </c>
      <c r="H167" s="20">
        <f>30000-100</f>
        <v>29900</v>
      </c>
      <c r="I167" s="20"/>
    </row>
    <row r="168" spans="1:9" s="21" customFormat="1" ht="13.2" x14ac:dyDescent="0.25">
      <c r="A168" s="38">
        <v>18</v>
      </c>
      <c r="B168" s="30" t="s">
        <v>82</v>
      </c>
      <c r="C168" s="39" t="s">
        <v>62</v>
      </c>
      <c r="D168" s="17" t="s">
        <v>13</v>
      </c>
      <c r="E168" s="18">
        <f t="shared" ref="E168:I168" si="61">SUM(E169:E171)</f>
        <v>0</v>
      </c>
      <c r="F168" s="18">
        <f t="shared" si="61"/>
        <v>0</v>
      </c>
      <c r="G168" s="18">
        <f t="shared" si="61"/>
        <v>0</v>
      </c>
      <c r="H168" s="18">
        <f t="shared" si="61"/>
        <v>0</v>
      </c>
      <c r="I168" s="18">
        <f t="shared" si="61"/>
        <v>0</v>
      </c>
    </row>
    <row r="169" spans="1:9" s="21" customFormat="1" ht="13.2" x14ac:dyDescent="0.25">
      <c r="A169" s="38"/>
      <c r="B169" s="31"/>
      <c r="C169" s="40"/>
      <c r="D169" s="26" t="s">
        <v>7</v>
      </c>
      <c r="E169" s="19"/>
      <c r="F169" s="19"/>
      <c r="G169" s="19"/>
      <c r="H169" s="19"/>
      <c r="I169" s="19"/>
    </row>
    <row r="170" spans="1:9" s="21" customFormat="1" ht="13.2" x14ac:dyDescent="0.25">
      <c r="A170" s="38"/>
      <c r="B170" s="31"/>
      <c r="C170" s="40"/>
      <c r="D170" s="26" t="s">
        <v>11</v>
      </c>
      <c r="E170" s="19"/>
      <c r="F170" s="19"/>
      <c r="G170" s="19"/>
      <c r="H170" s="19"/>
      <c r="I170" s="19"/>
    </row>
    <row r="171" spans="1:9" s="21" customFormat="1" ht="13.2" x14ac:dyDescent="0.25">
      <c r="A171" s="38"/>
      <c r="B171" s="32"/>
      <c r="C171" s="41"/>
      <c r="D171" s="25" t="s">
        <v>12</v>
      </c>
      <c r="E171" s="20"/>
      <c r="F171" s="20"/>
      <c r="G171" s="20"/>
      <c r="H171" s="20"/>
      <c r="I171" s="20"/>
    </row>
    <row r="172" spans="1:9" s="21" customFormat="1" ht="13.2" x14ac:dyDescent="0.25">
      <c r="A172" s="38">
        <v>19</v>
      </c>
      <c r="B172" s="30" t="s">
        <v>83</v>
      </c>
      <c r="C172" s="39" t="s">
        <v>62</v>
      </c>
      <c r="D172" s="17" t="s">
        <v>13</v>
      </c>
      <c r="E172" s="18">
        <f t="shared" ref="E172:I172" si="62">SUM(E173:E175)</f>
        <v>1433333.34</v>
      </c>
      <c r="F172" s="18">
        <f t="shared" si="62"/>
        <v>751666.67</v>
      </c>
      <c r="G172" s="18">
        <f t="shared" si="62"/>
        <v>1865587.78</v>
      </c>
      <c r="H172" s="18">
        <f t="shared" si="62"/>
        <v>888888.89</v>
      </c>
      <c r="I172" s="18">
        <f t="shared" si="62"/>
        <v>0</v>
      </c>
    </row>
    <row r="173" spans="1:9" s="21" customFormat="1" ht="13.2" x14ac:dyDescent="0.25">
      <c r="A173" s="38"/>
      <c r="B173" s="31"/>
      <c r="C173" s="40"/>
      <c r="D173" s="26" t="s">
        <v>7</v>
      </c>
      <c r="E173" s="19"/>
      <c r="F173" s="19"/>
      <c r="G173" s="19"/>
      <c r="H173" s="19"/>
      <c r="I173" s="19"/>
    </row>
    <row r="174" spans="1:9" s="21" customFormat="1" ht="13.2" x14ac:dyDescent="0.25">
      <c r="A174" s="38"/>
      <c r="B174" s="31"/>
      <c r="C174" s="40"/>
      <c r="D174" s="26" t="s">
        <v>11</v>
      </c>
      <c r="E174" s="19">
        <f t="shared" ref="E174:G175" si="63">E178+E182</f>
        <v>1290000</v>
      </c>
      <c r="F174" s="19">
        <f t="shared" si="63"/>
        <v>676500</v>
      </c>
      <c r="G174" s="19">
        <f t="shared" si="63"/>
        <v>1679029</v>
      </c>
      <c r="H174" s="19">
        <f t="shared" ref="H174" si="64">H178+H182</f>
        <v>800000</v>
      </c>
      <c r="I174" s="19"/>
    </row>
    <row r="175" spans="1:9" s="21" customFormat="1" ht="13.2" x14ac:dyDescent="0.25">
      <c r="A175" s="38"/>
      <c r="B175" s="32"/>
      <c r="C175" s="41"/>
      <c r="D175" s="25" t="s">
        <v>12</v>
      </c>
      <c r="E175" s="20">
        <f t="shared" si="63"/>
        <v>143333.34</v>
      </c>
      <c r="F175" s="20">
        <f t="shared" si="63"/>
        <v>75166.67</v>
      </c>
      <c r="G175" s="20">
        <f t="shared" si="63"/>
        <v>186558.78</v>
      </c>
      <c r="H175" s="20">
        <f t="shared" ref="H175" si="65">H179+H183</f>
        <v>88888.89</v>
      </c>
      <c r="I175" s="20"/>
    </row>
    <row r="176" spans="1:9" s="21" customFormat="1" ht="13.2" x14ac:dyDescent="0.25">
      <c r="A176" s="54" t="s">
        <v>93</v>
      </c>
      <c r="B176" s="30" t="s">
        <v>84</v>
      </c>
      <c r="C176" s="39" t="s">
        <v>62</v>
      </c>
      <c r="D176" s="17" t="s">
        <v>13</v>
      </c>
      <c r="E176" s="18">
        <f t="shared" ref="E176:I176" si="66">SUM(E177:E179)</f>
        <v>1333333.3400000001</v>
      </c>
      <c r="F176" s="18">
        <f t="shared" si="66"/>
        <v>666666.67000000004</v>
      </c>
      <c r="G176" s="18">
        <f t="shared" si="66"/>
        <v>1777777.78</v>
      </c>
      <c r="H176" s="18">
        <f t="shared" si="66"/>
        <v>888888.89</v>
      </c>
      <c r="I176" s="18">
        <f t="shared" si="66"/>
        <v>0</v>
      </c>
    </row>
    <row r="177" spans="1:9" s="21" customFormat="1" ht="13.2" x14ac:dyDescent="0.25">
      <c r="A177" s="55"/>
      <c r="B177" s="31"/>
      <c r="C177" s="40"/>
      <c r="D177" s="26" t="s">
        <v>7</v>
      </c>
      <c r="E177" s="19"/>
      <c r="F177" s="19"/>
      <c r="G177" s="19"/>
      <c r="H177" s="19"/>
      <c r="I177" s="19"/>
    </row>
    <row r="178" spans="1:9" s="21" customFormat="1" ht="13.2" x14ac:dyDescent="0.25">
      <c r="A178" s="55"/>
      <c r="B178" s="31"/>
      <c r="C178" s="40"/>
      <c r="D178" s="26" t="s">
        <v>11</v>
      </c>
      <c r="E178" s="19">
        <v>1200000</v>
      </c>
      <c r="F178" s="19">
        <v>600000</v>
      </c>
      <c r="G178" s="19">
        <v>1600000</v>
      </c>
      <c r="H178" s="19">
        <v>800000</v>
      </c>
      <c r="I178" s="19"/>
    </row>
    <row r="179" spans="1:9" s="21" customFormat="1" ht="13.2" x14ac:dyDescent="0.25">
      <c r="A179" s="56"/>
      <c r="B179" s="32"/>
      <c r="C179" s="41"/>
      <c r="D179" s="25" t="s">
        <v>12</v>
      </c>
      <c r="E179" s="20">
        <v>133333.34</v>
      </c>
      <c r="F179" s="20">
        <v>66666.67</v>
      </c>
      <c r="G179" s="20">
        <f>177777.78</f>
        <v>177777.78</v>
      </c>
      <c r="H179" s="20">
        <v>88888.89</v>
      </c>
      <c r="I179" s="20"/>
    </row>
    <row r="180" spans="1:9" s="21" customFormat="1" ht="13.2" x14ac:dyDescent="0.25">
      <c r="A180" s="54" t="s">
        <v>94</v>
      </c>
      <c r="B180" s="30" t="s">
        <v>85</v>
      </c>
      <c r="C180" s="39" t="s">
        <v>62</v>
      </c>
      <c r="D180" s="17" t="s">
        <v>13</v>
      </c>
      <c r="E180" s="18">
        <f t="shared" ref="E180:I180" si="67">SUM(E181:E183)</f>
        <v>100000</v>
      </c>
      <c r="F180" s="18">
        <f t="shared" si="67"/>
        <v>85000</v>
      </c>
      <c r="G180" s="18">
        <f t="shared" si="67"/>
        <v>87810</v>
      </c>
      <c r="H180" s="18">
        <f t="shared" si="67"/>
        <v>0</v>
      </c>
      <c r="I180" s="18">
        <f t="shared" si="67"/>
        <v>0</v>
      </c>
    </row>
    <row r="181" spans="1:9" s="21" customFormat="1" ht="13.2" x14ac:dyDescent="0.25">
      <c r="A181" s="55"/>
      <c r="B181" s="31"/>
      <c r="C181" s="40"/>
      <c r="D181" s="26" t="s">
        <v>7</v>
      </c>
      <c r="E181" s="19"/>
      <c r="F181" s="19"/>
      <c r="G181" s="19"/>
      <c r="H181" s="19"/>
      <c r="I181" s="19"/>
    </row>
    <row r="182" spans="1:9" s="21" customFormat="1" ht="13.2" x14ac:dyDescent="0.25">
      <c r="A182" s="55"/>
      <c r="B182" s="31"/>
      <c r="C182" s="40"/>
      <c r="D182" s="26" t="s">
        <v>11</v>
      </c>
      <c r="E182" s="19">
        <v>90000</v>
      </c>
      <c r="F182" s="19">
        <v>76500</v>
      </c>
      <c r="G182" s="19">
        <v>79029</v>
      </c>
      <c r="H182" s="19"/>
      <c r="I182" s="19"/>
    </row>
    <row r="183" spans="1:9" s="21" customFormat="1" ht="13.2" x14ac:dyDescent="0.25">
      <c r="A183" s="56"/>
      <c r="B183" s="32"/>
      <c r="C183" s="41"/>
      <c r="D183" s="25" t="s">
        <v>12</v>
      </c>
      <c r="E183" s="20">
        <f>66666.67-56666.67</f>
        <v>10000</v>
      </c>
      <c r="F183" s="20">
        <v>8500</v>
      </c>
      <c r="G183" s="20">
        <f>8781</f>
        <v>8781</v>
      </c>
      <c r="H183" s="20"/>
      <c r="I183" s="20"/>
    </row>
    <row r="184" spans="1:9" s="21" customFormat="1" ht="13.2" x14ac:dyDescent="0.25">
      <c r="A184" s="38">
        <v>20</v>
      </c>
      <c r="B184" s="30" t="s">
        <v>25</v>
      </c>
      <c r="C184" s="39" t="s">
        <v>62</v>
      </c>
      <c r="D184" s="17" t="s">
        <v>13</v>
      </c>
      <c r="E184" s="18">
        <f>SUM(E185:E187)</f>
        <v>0</v>
      </c>
      <c r="F184" s="18">
        <f t="shared" ref="F184:I184" si="68">SUM(F185:F187)</f>
        <v>0</v>
      </c>
      <c r="G184" s="18">
        <f t="shared" si="68"/>
        <v>0</v>
      </c>
      <c r="H184" s="18">
        <f t="shared" si="68"/>
        <v>0</v>
      </c>
      <c r="I184" s="18">
        <f t="shared" si="68"/>
        <v>0</v>
      </c>
    </row>
    <row r="185" spans="1:9" s="21" customFormat="1" ht="13.2" x14ac:dyDescent="0.25">
      <c r="A185" s="38"/>
      <c r="B185" s="31"/>
      <c r="C185" s="40"/>
      <c r="D185" s="26" t="s">
        <v>7</v>
      </c>
      <c r="E185" s="19"/>
      <c r="F185" s="19"/>
      <c r="G185" s="19"/>
      <c r="H185" s="19"/>
      <c r="I185" s="19"/>
    </row>
    <row r="186" spans="1:9" s="21" customFormat="1" ht="13.2" x14ac:dyDescent="0.25">
      <c r="A186" s="38"/>
      <c r="B186" s="31"/>
      <c r="C186" s="40"/>
      <c r="D186" s="26" t="s">
        <v>11</v>
      </c>
      <c r="E186" s="19"/>
      <c r="F186" s="19"/>
      <c r="G186" s="19"/>
      <c r="H186" s="19"/>
      <c r="I186" s="19"/>
    </row>
    <row r="187" spans="1:9" s="21" customFormat="1" ht="16.2" customHeight="1" x14ac:dyDescent="0.25">
      <c r="A187" s="38"/>
      <c r="B187" s="32"/>
      <c r="C187" s="41"/>
      <c r="D187" s="25" t="s">
        <v>12</v>
      </c>
      <c r="E187" s="20"/>
      <c r="F187" s="20"/>
      <c r="G187" s="20"/>
      <c r="H187" s="20"/>
      <c r="I187" s="20"/>
    </row>
    <row r="188" spans="1:9" s="21" customFormat="1" ht="16.2" customHeight="1" x14ac:dyDescent="0.25">
      <c r="A188" s="38">
        <v>21</v>
      </c>
      <c r="B188" s="30" t="s">
        <v>26</v>
      </c>
      <c r="C188" s="39" t="s">
        <v>62</v>
      </c>
      <c r="D188" s="17" t="s">
        <v>13</v>
      </c>
      <c r="E188" s="18">
        <f>SUM(E189:E191)</f>
        <v>0</v>
      </c>
      <c r="F188" s="18">
        <f t="shared" ref="F188:I188" si="69">SUM(F189:F191)</f>
        <v>0</v>
      </c>
      <c r="G188" s="18">
        <f t="shared" si="69"/>
        <v>0</v>
      </c>
      <c r="H188" s="18">
        <f t="shared" si="69"/>
        <v>0</v>
      </c>
      <c r="I188" s="18">
        <f t="shared" si="69"/>
        <v>0</v>
      </c>
    </row>
    <row r="189" spans="1:9" s="21" customFormat="1" ht="16.2" customHeight="1" x14ac:dyDescent="0.25">
      <c r="A189" s="38"/>
      <c r="B189" s="31"/>
      <c r="C189" s="40"/>
      <c r="D189" s="26" t="s">
        <v>7</v>
      </c>
      <c r="E189" s="19"/>
      <c r="F189" s="19"/>
      <c r="G189" s="19"/>
      <c r="H189" s="19"/>
      <c r="I189" s="19"/>
    </row>
    <row r="190" spans="1:9" s="21" customFormat="1" ht="16.2" customHeight="1" x14ac:dyDescent="0.25">
      <c r="A190" s="38"/>
      <c r="B190" s="31"/>
      <c r="C190" s="40"/>
      <c r="D190" s="26" t="s">
        <v>11</v>
      </c>
      <c r="E190" s="19"/>
      <c r="F190" s="19"/>
      <c r="G190" s="19"/>
      <c r="H190" s="19"/>
      <c r="I190" s="19"/>
    </row>
    <row r="191" spans="1:9" s="21" customFormat="1" ht="13.2" x14ac:dyDescent="0.25">
      <c r="A191" s="38"/>
      <c r="B191" s="32"/>
      <c r="C191" s="41"/>
      <c r="D191" s="25" t="s">
        <v>12</v>
      </c>
      <c r="E191" s="20"/>
      <c r="F191" s="20"/>
      <c r="G191" s="20"/>
      <c r="H191" s="20"/>
      <c r="I191" s="20"/>
    </row>
    <row r="192" spans="1:9" s="21" customFormat="1" ht="16.2" customHeight="1" x14ac:dyDescent="0.25">
      <c r="A192" s="38">
        <v>22</v>
      </c>
      <c r="B192" s="30" t="s">
        <v>86</v>
      </c>
      <c r="C192" s="39" t="s">
        <v>62</v>
      </c>
      <c r="D192" s="17" t="s">
        <v>13</v>
      </c>
      <c r="E192" s="18">
        <f>SUM(E193:E195)</f>
        <v>0</v>
      </c>
      <c r="F192" s="18">
        <f t="shared" ref="F192:I192" si="70">SUM(F193:F195)</f>
        <v>387779.81999999995</v>
      </c>
      <c r="G192" s="18">
        <f t="shared" si="70"/>
        <v>18466.86</v>
      </c>
      <c r="H192" s="18">
        <f t="shared" si="70"/>
        <v>0</v>
      </c>
      <c r="I192" s="18">
        <f t="shared" si="70"/>
        <v>0</v>
      </c>
    </row>
    <row r="193" spans="1:9" s="21" customFormat="1" ht="16.2" customHeight="1" x14ac:dyDescent="0.25">
      <c r="A193" s="38"/>
      <c r="B193" s="31"/>
      <c r="C193" s="40"/>
      <c r="D193" s="26" t="s">
        <v>7</v>
      </c>
      <c r="E193" s="19"/>
      <c r="F193" s="19"/>
      <c r="G193" s="19"/>
      <c r="H193" s="19"/>
      <c r="I193" s="19"/>
    </row>
    <row r="194" spans="1:9" s="21" customFormat="1" ht="16.2" customHeight="1" x14ac:dyDescent="0.25">
      <c r="A194" s="38"/>
      <c r="B194" s="31"/>
      <c r="C194" s="40"/>
      <c r="D194" s="26" t="s">
        <v>11</v>
      </c>
      <c r="E194" s="19"/>
      <c r="F194" s="19"/>
      <c r="G194" s="19"/>
      <c r="H194" s="19"/>
      <c r="I194" s="19"/>
    </row>
    <row r="195" spans="1:9" s="21" customFormat="1" ht="13.2" x14ac:dyDescent="0.25">
      <c r="A195" s="38"/>
      <c r="B195" s="32"/>
      <c r="C195" s="41"/>
      <c r="D195" s="25" t="s">
        <v>12</v>
      </c>
      <c r="E195" s="20"/>
      <c r="F195" s="20">
        <f>900000-194955.55-194100-103201.19-19963.44</f>
        <v>387779.81999999995</v>
      </c>
      <c r="G195" s="20">
        <f>100000-76128.42-5404.72</f>
        <v>18466.86</v>
      </c>
      <c r="H195" s="20"/>
      <c r="I195" s="20"/>
    </row>
    <row r="196" spans="1:9" x14ac:dyDescent="0.25">
      <c r="A196" s="35" t="s">
        <v>90</v>
      </c>
      <c r="B196" s="36"/>
      <c r="C196" s="36"/>
      <c r="D196" s="36"/>
      <c r="E196" s="36"/>
      <c r="F196" s="36"/>
      <c r="G196" s="36"/>
      <c r="H196" s="36"/>
      <c r="I196" s="37"/>
    </row>
    <row r="197" spans="1:9" ht="17.850000000000001" customHeight="1" x14ac:dyDescent="0.25">
      <c r="A197" s="33">
        <v>23</v>
      </c>
      <c r="B197" s="30" t="s">
        <v>27</v>
      </c>
      <c r="C197" s="39" t="s">
        <v>62</v>
      </c>
      <c r="D197" s="17" t="s">
        <v>13</v>
      </c>
      <c r="E197" s="18">
        <f>SUM(E198:E200)</f>
        <v>0</v>
      </c>
      <c r="F197" s="18">
        <f t="shared" ref="F197:I197" si="71">SUM(F198:F200)</f>
        <v>0</v>
      </c>
      <c r="G197" s="18">
        <f t="shared" si="71"/>
        <v>0</v>
      </c>
      <c r="H197" s="18">
        <f t="shared" si="71"/>
        <v>0</v>
      </c>
      <c r="I197" s="18">
        <f t="shared" si="71"/>
        <v>0</v>
      </c>
    </row>
    <row r="198" spans="1:9" ht="17.850000000000001" customHeight="1" x14ac:dyDescent="0.25">
      <c r="A198" s="34"/>
      <c r="B198" s="31"/>
      <c r="C198" s="40"/>
      <c r="D198" s="26" t="s">
        <v>7</v>
      </c>
      <c r="E198" s="19"/>
      <c r="F198" s="19"/>
      <c r="G198" s="19"/>
      <c r="H198" s="19"/>
      <c r="I198" s="19"/>
    </row>
    <row r="199" spans="1:9" ht="17.850000000000001" customHeight="1" x14ac:dyDescent="0.25">
      <c r="A199" s="34"/>
      <c r="B199" s="31"/>
      <c r="C199" s="40"/>
      <c r="D199" s="26" t="s">
        <v>11</v>
      </c>
      <c r="E199" s="19"/>
      <c r="F199" s="19"/>
      <c r="G199" s="19"/>
      <c r="H199" s="19"/>
      <c r="I199" s="19"/>
    </row>
    <row r="200" spans="1:9" ht="17.850000000000001" customHeight="1" x14ac:dyDescent="0.25">
      <c r="A200" s="42"/>
      <c r="B200" s="32"/>
      <c r="C200" s="41"/>
      <c r="D200" s="25" t="s">
        <v>12</v>
      </c>
      <c r="E200" s="20"/>
      <c r="F200" s="20"/>
      <c r="G200" s="20"/>
      <c r="H200" s="20"/>
      <c r="I200" s="20"/>
    </row>
    <row r="201" spans="1:9" ht="24.15" customHeight="1" x14ac:dyDescent="0.25">
      <c r="A201" s="33">
        <v>24</v>
      </c>
      <c r="B201" s="57" t="s">
        <v>28</v>
      </c>
      <c r="C201" s="39" t="s">
        <v>62</v>
      </c>
      <c r="D201" s="17" t="s">
        <v>13</v>
      </c>
      <c r="E201" s="18">
        <f>SUM(E202:E204)</f>
        <v>0</v>
      </c>
      <c r="F201" s="18">
        <f t="shared" ref="F201:I201" si="72">SUM(F202:F204)</f>
        <v>0</v>
      </c>
      <c r="G201" s="18">
        <f t="shared" si="72"/>
        <v>0</v>
      </c>
      <c r="H201" s="18">
        <f t="shared" si="72"/>
        <v>0</v>
      </c>
      <c r="I201" s="18">
        <f t="shared" si="72"/>
        <v>0</v>
      </c>
    </row>
    <row r="202" spans="1:9" ht="24.15" customHeight="1" x14ac:dyDescent="0.25">
      <c r="A202" s="34"/>
      <c r="B202" s="57"/>
      <c r="C202" s="40"/>
      <c r="D202" s="26" t="s">
        <v>7</v>
      </c>
      <c r="E202" s="19"/>
      <c r="F202" s="19"/>
      <c r="G202" s="19"/>
      <c r="H202" s="19"/>
      <c r="I202" s="19"/>
    </row>
    <row r="203" spans="1:9" ht="24.15" customHeight="1" x14ac:dyDescent="0.25">
      <c r="A203" s="34"/>
      <c r="B203" s="57"/>
      <c r="C203" s="40"/>
      <c r="D203" s="26" t="s">
        <v>11</v>
      </c>
      <c r="E203" s="19"/>
      <c r="F203" s="19"/>
      <c r="G203" s="19"/>
      <c r="H203" s="19"/>
      <c r="I203" s="19"/>
    </row>
    <row r="204" spans="1:9" ht="24.15" customHeight="1" x14ac:dyDescent="0.25">
      <c r="A204" s="42"/>
      <c r="B204" s="57"/>
      <c r="C204" s="41"/>
      <c r="D204" s="26" t="s">
        <v>12</v>
      </c>
      <c r="E204" s="19"/>
      <c r="F204" s="19"/>
      <c r="G204" s="19"/>
      <c r="H204" s="19"/>
      <c r="I204" s="19"/>
    </row>
    <row r="205" spans="1:9" x14ac:dyDescent="0.25">
      <c r="A205" s="33">
        <v>25</v>
      </c>
      <c r="B205" s="30" t="s">
        <v>104</v>
      </c>
      <c r="C205" s="39" t="s">
        <v>62</v>
      </c>
      <c r="D205" s="17" t="s">
        <v>13</v>
      </c>
      <c r="E205" s="18">
        <f>SUM(E206:E208)</f>
        <v>0</v>
      </c>
      <c r="F205" s="18">
        <f t="shared" ref="F205:I205" si="73">SUM(F206:F208)</f>
        <v>0</v>
      </c>
      <c r="G205" s="18">
        <f t="shared" si="73"/>
        <v>0</v>
      </c>
      <c r="H205" s="18">
        <f t="shared" si="73"/>
        <v>70310</v>
      </c>
      <c r="I205" s="18">
        <f t="shared" si="73"/>
        <v>0</v>
      </c>
    </row>
    <row r="206" spans="1:9" x14ac:dyDescent="0.25">
      <c r="A206" s="34"/>
      <c r="B206" s="31"/>
      <c r="C206" s="40"/>
      <c r="D206" s="26" t="s">
        <v>7</v>
      </c>
      <c r="E206" s="19"/>
      <c r="F206" s="19"/>
      <c r="G206" s="19"/>
      <c r="H206" s="19"/>
      <c r="I206" s="19"/>
    </row>
    <row r="207" spans="1:9" x14ac:dyDescent="0.25">
      <c r="A207" s="34"/>
      <c r="B207" s="31"/>
      <c r="C207" s="40"/>
      <c r="D207" s="26" t="s">
        <v>11</v>
      </c>
      <c r="E207" s="19"/>
      <c r="F207" s="19"/>
      <c r="G207" s="19"/>
      <c r="H207" s="19"/>
      <c r="I207" s="19"/>
    </row>
    <row r="208" spans="1:9" x14ac:dyDescent="0.25">
      <c r="A208" s="42"/>
      <c r="B208" s="32"/>
      <c r="C208" s="41"/>
      <c r="D208" s="25" t="s">
        <v>12</v>
      </c>
      <c r="E208" s="20"/>
      <c r="F208" s="20"/>
      <c r="G208" s="20"/>
      <c r="H208" s="20">
        <f>98000-27690</f>
        <v>70310</v>
      </c>
      <c r="I208" s="20"/>
    </row>
    <row r="209" spans="1:12" s="14" customFormat="1" ht="13.95" customHeight="1" x14ac:dyDescent="0.25">
      <c r="A209" s="46" t="s">
        <v>29</v>
      </c>
      <c r="B209" s="46" t="s">
        <v>30</v>
      </c>
      <c r="C209" s="39" t="s">
        <v>62</v>
      </c>
      <c r="D209" s="12" t="s">
        <v>10</v>
      </c>
      <c r="E209" s="13">
        <f>SUM(E210:E212)</f>
        <v>20440446.030000001</v>
      </c>
      <c r="F209" s="13">
        <f t="shared" ref="F209:H209" si="74">SUM(F210:F212)</f>
        <v>23504429.360000003</v>
      </c>
      <c r="G209" s="13">
        <f t="shared" si="74"/>
        <v>26636870.290000003</v>
      </c>
      <c r="H209" s="13">
        <f t="shared" si="74"/>
        <v>28261365.91</v>
      </c>
      <c r="I209" s="13">
        <f t="shared" ref="I209" si="75">SUM(I210:I212)</f>
        <v>23187415.719999999</v>
      </c>
      <c r="K209" s="15"/>
      <c r="L209" s="15"/>
    </row>
    <row r="210" spans="1:12" s="14" customFormat="1" x14ac:dyDescent="0.25">
      <c r="A210" s="47"/>
      <c r="B210" s="47"/>
      <c r="C210" s="40"/>
      <c r="D210" s="24" t="s">
        <v>7</v>
      </c>
      <c r="E210" s="16">
        <f>E215+E224+E229+E234+E239+E243+E251+E255+E259+E263+E267+E275+E219+E279+E247</f>
        <v>102836.23</v>
      </c>
      <c r="F210" s="16">
        <f t="shared" ref="F210:I210" si="76">F215+F224+F229+F234+F239+F243+F251+F255+F259+F263+F267+F275+F219+F279+F247</f>
        <v>0</v>
      </c>
      <c r="G210" s="16">
        <f t="shared" si="76"/>
        <v>0</v>
      </c>
      <c r="H210" s="16">
        <f t="shared" si="76"/>
        <v>0</v>
      </c>
      <c r="I210" s="16">
        <f t="shared" si="76"/>
        <v>0</v>
      </c>
    </row>
    <row r="211" spans="1:12" s="14" customFormat="1" x14ac:dyDescent="0.25">
      <c r="A211" s="47"/>
      <c r="B211" s="47"/>
      <c r="C211" s="40"/>
      <c r="D211" s="24" t="s">
        <v>11</v>
      </c>
      <c r="E211" s="16">
        <f>E216+E225+E230+E235+E240+E244+E252+E256+E260+E264+E268+E276+E220+E280+E248</f>
        <v>1356531.29</v>
      </c>
      <c r="F211" s="16">
        <f t="shared" ref="F211:I211" si="77">F216+F225+F230+F235+F240+F244+F252+F256+F260+F264+F268+F276+F220+F280+F248</f>
        <v>4486000</v>
      </c>
      <c r="G211" s="16">
        <f t="shared" si="77"/>
        <v>6395733</v>
      </c>
      <c r="H211" s="16">
        <f t="shared" si="77"/>
        <v>8891289</v>
      </c>
      <c r="I211" s="16">
        <f t="shared" si="77"/>
        <v>5112926.5</v>
      </c>
    </row>
    <row r="212" spans="1:12" s="14" customFormat="1" x14ac:dyDescent="0.25">
      <c r="A212" s="48"/>
      <c r="B212" s="48"/>
      <c r="C212" s="41"/>
      <c r="D212" s="24" t="s">
        <v>12</v>
      </c>
      <c r="E212" s="16">
        <f>E217+E226+E231+E236+E241+E245+E253+E257+E261+E265+E269+E277+E221+E273+E281+E249</f>
        <v>18981078.510000002</v>
      </c>
      <c r="F212" s="16">
        <f t="shared" ref="F212:I212" si="78">F217+F226+F231+F236+F241+F245+F253+F257+F261+F265+F269+F277+F221+F273+F281+F249</f>
        <v>19018429.360000003</v>
      </c>
      <c r="G212" s="16">
        <f t="shared" si="78"/>
        <v>20241137.290000003</v>
      </c>
      <c r="H212" s="16">
        <f t="shared" si="78"/>
        <v>19370076.91</v>
      </c>
      <c r="I212" s="16">
        <f t="shared" si="78"/>
        <v>18074489.219999999</v>
      </c>
      <c r="L212" s="15"/>
    </row>
    <row r="213" spans="1:12" s="14" customFormat="1" ht="27.6" customHeight="1" x14ac:dyDescent="0.25">
      <c r="A213" s="35" t="s">
        <v>34</v>
      </c>
      <c r="B213" s="36"/>
      <c r="C213" s="36"/>
      <c r="D213" s="36"/>
      <c r="E213" s="36"/>
      <c r="F213" s="36"/>
      <c r="G213" s="36"/>
      <c r="H213" s="36"/>
      <c r="I213" s="37"/>
    </row>
    <row r="214" spans="1:12" x14ac:dyDescent="0.25">
      <c r="A214" s="33">
        <v>1</v>
      </c>
      <c r="B214" s="30" t="s">
        <v>53</v>
      </c>
      <c r="C214" s="39" t="s">
        <v>62</v>
      </c>
      <c r="D214" s="17" t="s">
        <v>13</v>
      </c>
      <c r="E214" s="18">
        <f>SUM(E215:E217)</f>
        <v>0</v>
      </c>
      <c r="F214" s="18">
        <f t="shared" ref="F214:I214" si="79">SUM(F215:F217)</f>
        <v>0</v>
      </c>
      <c r="G214" s="18">
        <f t="shared" si="79"/>
        <v>0</v>
      </c>
      <c r="H214" s="18">
        <f t="shared" si="79"/>
        <v>0</v>
      </c>
      <c r="I214" s="18">
        <f t="shared" si="79"/>
        <v>0</v>
      </c>
    </row>
    <row r="215" spans="1:12" x14ac:dyDescent="0.25">
      <c r="A215" s="34"/>
      <c r="B215" s="31"/>
      <c r="C215" s="40"/>
      <c r="D215" s="26" t="s">
        <v>7</v>
      </c>
      <c r="E215" s="19"/>
      <c r="F215" s="19"/>
      <c r="G215" s="19"/>
      <c r="H215" s="19"/>
      <c r="I215" s="19"/>
    </row>
    <row r="216" spans="1:12" x14ac:dyDescent="0.25">
      <c r="A216" s="34"/>
      <c r="B216" s="31"/>
      <c r="C216" s="40"/>
      <c r="D216" s="26" t="s">
        <v>11</v>
      </c>
      <c r="E216" s="19"/>
      <c r="F216" s="19"/>
      <c r="G216" s="19"/>
      <c r="H216" s="19"/>
      <c r="I216" s="19"/>
    </row>
    <row r="217" spans="1:12" x14ac:dyDescent="0.25">
      <c r="A217" s="42"/>
      <c r="B217" s="32"/>
      <c r="C217" s="41"/>
      <c r="D217" s="25" t="s">
        <v>12</v>
      </c>
      <c r="E217" s="20"/>
      <c r="F217" s="20"/>
      <c r="G217" s="20"/>
      <c r="H217" s="20"/>
      <c r="I217" s="20"/>
    </row>
    <row r="218" spans="1:12" x14ac:dyDescent="0.25">
      <c r="A218" s="33">
        <v>2</v>
      </c>
      <c r="B218" s="30" t="s">
        <v>55</v>
      </c>
      <c r="C218" s="39" t="s">
        <v>62</v>
      </c>
      <c r="D218" s="17" t="s">
        <v>13</v>
      </c>
      <c r="E218" s="18">
        <f>SUM(E219:E221)</f>
        <v>0</v>
      </c>
      <c r="F218" s="18">
        <f t="shared" ref="F218:I218" si="80">SUM(F219:F221)</f>
        <v>0</v>
      </c>
      <c r="G218" s="18">
        <f t="shared" si="80"/>
        <v>0</v>
      </c>
      <c r="H218" s="18">
        <f t="shared" si="80"/>
        <v>0</v>
      </c>
      <c r="I218" s="18">
        <f t="shared" si="80"/>
        <v>0</v>
      </c>
    </row>
    <row r="219" spans="1:12" x14ac:dyDescent="0.25">
      <c r="A219" s="34"/>
      <c r="B219" s="31"/>
      <c r="C219" s="40"/>
      <c r="D219" s="26" t="s">
        <v>7</v>
      </c>
      <c r="E219" s="19"/>
      <c r="F219" s="19"/>
      <c r="G219" s="19"/>
      <c r="H219" s="19"/>
      <c r="I219" s="19"/>
    </row>
    <row r="220" spans="1:12" x14ac:dyDescent="0.25">
      <c r="A220" s="34"/>
      <c r="B220" s="31"/>
      <c r="C220" s="40"/>
      <c r="D220" s="26" t="s">
        <v>11</v>
      </c>
      <c r="E220" s="19"/>
      <c r="F220" s="19"/>
      <c r="G220" s="19"/>
      <c r="H220" s="19"/>
      <c r="I220" s="19"/>
    </row>
    <row r="221" spans="1:12" x14ac:dyDescent="0.25">
      <c r="A221" s="42"/>
      <c r="B221" s="32"/>
      <c r="C221" s="41"/>
      <c r="D221" s="25" t="s">
        <v>12</v>
      </c>
      <c r="E221" s="20"/>
      <c r="F221" s="20"/>
      <c r="G221" s="20"/>
      <c r="H221" s="20"/>
      <c r="I221" s="20"/>
    </row>
    <row r="222" spans="1:12" x14ac:dyDescent="0.25">
      <c r="A222" s="58" t="s">
        <v>35</v>
      </c>
      <c r="B222" s="59"/>
      <c r="C222" s="59"/>
      <c r="D222" s="59"/>
      <c r="E222" s="59"/>
      <c r="F222" s="59"/>
      <c r="G222" s="59"/>
      <c r="H222" s="59"/>
      <c r="I222" s="60"/>
    </row>
    <row r="223" spans="1:12" x14ac:dyDescent="0.25">
      <c r="A223" s="33">
        <v>3</v>
      </c>
      <c r="B223" s="30" t="s">
        <v>54</v>
      </c>
      <c r="C223" s="39" t="s">
        <v>62</v>
      </c>
      <c r="D223" s="17" t="s">
        <v>13</v>
      </c>
      <c r="E223" s="18">
        <f>SUM(E224:E226)</f>
        <v>0</v>
      </c>
      <c r="F223" s="18">
        <f t="shared" ref="F223:I223" si="81">SUM(F224:F226)</f>
        <v>0</v>
      </c>
      <c r="G223" s="18">
        <f t="shared" si="81"/>
        <v>0</v>
      </c>
      <c r="H223" s="18">
        <f t="shared" si="81"/>
        <v>0</v>
      </c>
      <c r="I223" s="18">
        <f t="shared" si="81"/>
        <v>0</v>
      </c>
    </row>
    <row r="224" spans="1:12" x14ac:dyDescent="0.25">
      <c r="A224" s="34"/>
      <c r="B224" s="31"/>
      <c r="C224" s="40"/>
      <c r="D224" s="26" t="s">
        <v>7</v>
      </c>
      <c r="E224" s="19"/>
      <c r="F224" s="19"/>
      <c r="G224" s="19"/>
      <c r="H224" s="19"/>
      <c r="I224" s="19"/>
    </row>
    <row r="225" spans="1:9" x14ac:dyDescent="0.25">
      <c r="A225" s="34"/>
      <c r="B225" s="31"/>
      <c r="C225" s="40"/>
      <c r="D225" s="26" t="s">
        <v>11</v>
      </c>
      <c r="E225" s="19"/>
      <c r="F225" s="19"/>
      <c r="G225" s="19"/>
      <c r="H225" s="19"/>
      <c r="I225" s="19"/>
    </row>
    <row r="226" spans="1:9" x14ac:dyDescent="0.25">
      <c r="A226" s="42"/>
      <c r="B226" s="32"/>
      <c r="C226" s="41"/>
      <c r="D226" s="25" t="s">
        <v>12</v>
      </c>
      <c r="E226" s="20"/>
      <c r="F226" s="20"/>
      <c r="G226" s="20"/>
      <c r="H226" s="20"/>
      <c r="I226" s="20"/>
    </row>
    <row r="227" spans="1:9" x14ac:dyDescent="0.25">
      <c r="A227" s="58" t="s">
        <v>36</v>
      </c>
      <c r="B227" s="59"/>
      <c r="C227" s="59"/>
      <c r="D227" s="59"/>
      <c r="E227" s="59"/>
      <c r="F227" s="59"/>
      <c r="G227" s="59"/>
      <c r="H227" s="59"/>
      <c r="I227" s="60"/>
    </row>
    <row r="228" spans="1:9" x14ac:dyDescent="0.25">
      <c r="A228" s="33">
        <v>4</v>
      </c>
      <c r="B228" s="30" t="s">
        <v>37</v>
      </c>
      <c r="C228" s="39" t="s">
        <v>62</v>
      </c>
      <c r="D228" s="17" t="s">
        <v>13</v>
      </c>
      <c r="E228" s="18">
        <f>SUM(E229:E231)</f>
        <v>0</v>
      </c>
      <c r="F228" s="18">
        <f t="shared" ref="F228:I228" si="82">SUM(F229:F231)</f>
        <v>0</v>
      </c>
      <c r="G228" s="18">
        <f t="shared" si="82"/>
        <v>0</v>
      </c>
      <c r="H228" s="18">
        <f t="shared" si="82"/>
        <v>0</v>
      </c>
      <c r="I228" s="18">
        <f t="shared" si="82"/>
        <v>0</v>
      </c>
    </row>
    <row r="229" spans="1:9" x14ac:dyDescent="0.25">
      <c r="A229" s="34"/>
      <c r="B229" s="31"/>
      <c r="C229" s="40"/>
      <c r="D229" s="26" t="s">
        <v>7</v>
      </c>
      <c r="E229" s="19"/>
      <c r="F229" s="19"/>
      <c r="G229" s="19"/>
      <c r="H229" s="19"/>
      <c r="I229" s="19"/>
    </row>
    <row r="230" spans="1:9" x14ac:dyDescent="0.25">
      <c r="A230" s="34"/>
      <c r="B230" s="31"/>
      <c r="C230" s="40"/>
      <c r="D230" s="26" t="s">
        <v>11</v>
      </c>
      <c r="E230" s="19"/>
      <c r="F230" s="19"/>
      <c r="G230" s="19"/>
      <c r="H230" s="19"/>
      <c r="I230" s="19"/>
    </row>
    <row r="231" spans="1:9" x14ac:dyDescent="0.25">
      <c r="A231" s="42"/>
      <c r="B231" s="32"/>
      <c r="C231" s="41"/>
      <c r="D231" s="25" t="s">
        <v>12</v>
      </c>
      <c r="E231" s="20"/>
      <c r="F231" s="20"/>
      <c r="G231" s="20"/>
      <c r="H231" s="20"/>
      <c r="I231" s="20"/>
    </row>
    <row r="232" spans="1:9" x14ac:dyDescent="0.25">
      <c r="A232" s="58" t="s">
        <v>38</v>
      </c>
      <c r="B232" s="59"/>
      <c r="C232" s="59"/>
      <c r="D232" s="59"/>
      <c r="E232" s="59"/>
      <c r="F232" s="59"/>
      <c r="G232" s="59"/>
      <c r="H232" s="59"/>
      <c r="I232" s="60"/>
    </row>
    <row r="233" spans="1:9" ht="16.95" customHeight="1" x14ac:dyDescent="0.25">
      <c r="A233" s="33">
        <v>5</v>
      </c>
      <c r="B233" s="30" t="s">
        <v>39</v>
      </c>
      <c r="C233" s="39" t="s">
        <v>62</v>
      </c>
      <c r="D233" s="17" t="s">
        <v>13</v>
      </c>
      <c r="E233" s="18">
        <f>SUM(E234:E236)</f>
        <v>580192.19999999995</v>
      </c>
      <c r="F233" s="18">
        <f t="shared" ref="F233:I233" si="83">SUM(F234:F236)</f>
        <v>0</v>
      </c>
      <c r="G233" s="18">
        <f t="shared" si="83"/>
        <v>0</v>
      </c>
      <c r="H233" s="18">
        <f t="shared" si="83"/>
        <v>0</v>
      </c>
      <c r="I233" s="18">
        <f t="shared" si="83"/>
        <v>0</v>
      </c>
    </row>
    <row r="234" spans="1:9" ht="16.95" customHeight="1" x14ac:dyDescent="0.25">
      <c r="A234" s="34"/>
      <c r="B234" s="31"/>
      <c r="C234" s="40"/>
      <c r="D234" s="26" t="s">
        <v>7</v>
      </c>
      <c r="E234" s="19">
        <v>102836.23</v>
      </c>
      <c r="F234" s="19"/>
      <c r="G234" s="19"/>
      <c r="H234" s="19"/>
      <c r="I234" s="19"/>
    </row>
    <row r="235" spans="1:9" ht="16.95" customHeight="1" x14ac:dyDescent="0.25">
      <c r="A235" s="34"/>
      <c r="B235" s="31"/>
      <c r="C235" s="40"/>
      <c r="D235" s="26" t="s">
        <v>11</v>
      </c>
      <c r="E235" s="19">
        <v>209431.29</v>
      </c>
      <c r="F235" s="19"/>
      <c r="G235" s="19"/>
      <c r="H235" s="19"/>
      <c r="I235" s="19"/>
    </row>
    <row r="236" spans="1:9" ht="16.95" customHeight="1" x14ac:dyDescent="0.25">
      <c r="A236" s="42"/>
      <c r="B236" s="32"/>
      <c r="C236" s="41"/>
      <c r="D236" s="25" t="s">
        <v>12</v>
      </c>
      <c r="E236" s="20">
        <f>333600-65675.32</f>
        <v>267924.68</v>
      </c>
      <c r="F236" s="20">
        <v>0</v>
      </c>
      <c r="G236" s="20"/>
      <c r="H236" s="20"/>
      <c r="I236" s="20"/>
    </row>
    <row r="237" spans="1:9" x14ac:dyDescent="0.25">
      <c r="A237" s="58" t="s">
        <v>40</v>
      </c>
      <c r="B237" s="59"/>
      <c r="C237" s="59"/>
      <c r="D237" s="59"/>
      <c r="E237" s="59"/>
      <c r="F237" s="59"/>
      <c r="G237" s="59"/>
      <c r="H237" s="59"/>
      <c r="I237" s="60"/>
    </row>
    <row r="238" spans="1:9" x14ac:dyDescent="0.25">
      <c r="A238" s="33">
        <v>6</v>
      </c>
      <c r="B238" s="30" t="s">
        <v>41</v>
      </c>
      <c r="C238" s="39" t="s">
        <v>62</v>
      </c>
      <c r="D238" s="17" t="s">
        <v>13</v>
      </c>
      <c r="E238" s="18">
        <f>SUM(E239:E241)</f>
        <v>18701566.960000001</v>
      </c>
      <c r="F238" s="18">
        <f t="shared" ref="F238:I238" si="84">SUM(F239:F241)</f>
        <v>18517906.75</v>
      </c>
      <c r="G238" s="18">
        <f t="shared" si="84"/>
        <v>19438801.510000002</v>
      </c>
      <c r="H238" s="18">
        <f t="shared" si="84"/>
        <v>17900794.780000001</v>
      </c>
      <c r="I238" s="18">
        <f t="shared" si="84"/>
        <v>17130257.93</v>
      </c>
    </row>
    <row r="239" spans="1:9" x14ac:dyDescent="0.25">
      <c r="A239" s="34"/>
      <c r="B239" s="31"/>
      <c r="C239" s="40"/>
      <c r="D239" s="26" t="s">
        <v>7</v>
      </c>
      <c r="E239" s="19"/>
      <c r="F239" s="19"/>
      <c r="G239" s="19"/>
      <c r="H239" s="19"/>
      <c r="I239" s="19"/>
    </row>
    <row r="240" spans="1:9" x14ac:dyDescent="0.25">
      <c r="A240" s="34"/>
      <c r="B240" s="31"/>
      <c r="C240" s="40"/>
      <c r="D240" s="26" t="s">
        <v>11</v>
      </c>
      <c r="E240" s="19"/>
      <c r="F240" s="19"/>
      <c r="G240" s="19"/>
      <c r="H240" s="19"/>
      <c r="I240" s="19"/>
    </row>
    <row r="241" spans="1:9" x14ac:dyDescent="0.25">
      <c r="A241" s="42"/>
      <c r="B241" s="32"/>
      <c r="C241" s="41"/>
      <c r="D241" s="25" t="s">
        <v>12</v>
      </c>
      <c r="E241" s="20">
        <f>19807473-480000-625906.04</f>
        <v>18701566.960000001</v>
      </c>
      <c r="F241" s="20">
        <f>19200000-500000-3823.23+592127.88+61600-831997.9</f>
        <v>18517906.75</v>
      </c>
      <c r="G241" s="20">
        <f>22213500-142936.72-1827064.18-1008407.06+203709.47</f>
        <v>19438801.510000002</v>
      </c>
      <c r="H241" s="20">
        <f>16768159.93+22000+20000+998355.59-69761.61+57573.74-104467.13+208934.26</f>
        <v>17900794.780000001</v>
      </c>
      <c r="I241" s="20">
        <v>17130257.93</v>
      </c>
    </row>
    <row r="242" spans="1:9" ht="19.95" customHeight="1" x14ac:dyDescent="0.25">
      <c r="A242" s="33">
        <v>7</v>
      </c>
      <c r="B242" s="30" t="s">
        <v>63</v>
      </c>
      <c r="C242" s="39" t="s">
        <v>62</v>
      </c>
      <c r="D242" s="17" t="s">
        <v>13</v>
      </c>
      <c r="E242" s="18">
        <f>SUM(E243:E245)</f>
        <v>1158686.8700000001</v>
      </c>
      <c r="F242" s="18">
        <f t="shared" ref="F242:I242" si="85">SUM(F243:F245)</f>
        <v>1905050.5</v>
      </c>
      <c r="G242" s="18">
        <f t="shared" si="85"/>
        <v>3127878.78</v>
      </c>
      <c r="H242" s="18">
        <f t="shared" si="85"/>
        <v>5691313.1299999999</v>
      </c>
      <c r="I242" s="18">
        <f t="shared" si="85"/>
        <v>3127878.79</v>
      </c>
    </row>
    <row r="243" spans="1:9" ht="19.95" customHeight="1" x14ac:dyDescent="0.25">
      <c r="A243" s="34"/>
      <c r="B243" s="31"/>
      <c r="C243" s="40"/>
      <c r="D243" s="26" t="s">
        <v>7</v>
      </c>
      <c r="E243" s="19"/>
      <c r="F243" s="19"/>
      <c r="G243" s="19"/>
      <c r="H243" s="19"/>
      <c r="I243" s="19"/>
    </row>
    <row r="244" spans="1:9" ht="19.95" customHeight="1" x14ac:dyDescent="0.25">
      <c r="A244" s="34"/>
      <c r="B244" s="31"/>
      <c r="C244" s="40"/>
      <c r="D244" s="26" t="s">
        <v>11</v>
      </c>
      <c r="E244" s="19">
        <v>1147100</v>
      </c>
      <c r="F244" s="19">
        <f>1507500+378500</f>
        <v>1886000</v>
      </c>
      <c r="G244" s="19">
        <f>2264300+832300</f>
        <v>3096600</v>
      </c>
      <c r="H244" s="19">
        <f>3096600+6906400-5699800+1331200</f>
        <v>5634400</v>
      </c>
      <c r="I244" s="19">
        <v>3096600</v>
      </c>
    </row>
    <row r="245" spans="1:9" ht="19.95" customHeight="1" x14ac:dyDescent="0.25">
      <c r="A245" s="42"/>
      <c r="B245" s="32"/>
      <c r="C245" s="41"/>
      <c r="D245" s="25" t="s">
        <v>12</v>
      </c>
      <c r="E245" s="20">
        <v>11586.87</v>
      </c>
      <c r="F245" s="20">
        <f>15227.27+3823.23</f>
        <v>19050.5</v>
      </c>
      <c r="G245" s="20">
        <f>22871.72+8407.06</f>
        <v>31278.78</v>
      </c>
      <c r="H245" s="20">
        <f>31278.79+69761.61-57573.74+13446.47</f>
        <v>56913.13</v>
      </c>
      <c r="I245" s="20">
        <v>31278.79</v>
      </c>
    </row>
    <row r="246" spans="1:9" x14ac:dyDescent="0.25">
      <c r="A246" s="33">
        <v>8</v>
      </c>
      <c r="B246" s="30" t="s">
        <v>95</v>
      </c>
      <c r="C246" s="39" t="s">
        <v>62</v>
      </c>
      <c r="D246" s="17" t="s">
        <v>13</v>
      </c>
      <c r="E246" s="18">
        <f>SUM(E247:E249)</f>
        <v>0</v>
      </c>
      <c r="F246" s="18">
        <f t="shared" ref="F246:I246" si="86">SUM(F247:F249)</f>
        <v>0</v>
      </c>
      <c r="G246" s="18">
        <f t="shared" si="86"/>
        <v>2570190</v>
      </c>
      <c r="H246" s="18">
        <f t="shared" si="86"/>
        <v>4669258</v>
      </c>
      <c r="I246" s="18">
        <f t="shared" si="86"/>
        <v>2929279</v>
      </c>
    </row>
    <row r="247" spans="1:9" x14ac:dyDescent="0.25">
      <c r="A247" s="34"/>
      <c r="B247" s="31"/>
      <c r="C247" s="40"/>
      <c r="D247" s="26" t="s">
        <v>7</v>
      </c>
      <c r="E247" s="19"/>
      <c r="F247" s="19"/>
      <c r="G247" s="19"/>
      <c r="H247" s="19"/>
      <c r="I247" s="19"/>
    </row>
    <row r="248" spans="1:9" x14ac:dyDescent="0.25">
      <c r="A248" s="34"/>
      <c r="B248" s="31"/>
      <c r="C248" s="40"/>
      <c r="D248" s="26" t="s">
        <v>11</v>
      </c>
      <c r="E248" s="19"/>
      <c r="F248" s="19"/>
      <c r="G248" s="19">
        <f>1799133</f>
        <v>1799133</v>
      </c>
      <c r="H248" s="19">
        <f>2014683.5-11500-2000-1300-40000+1297005.5</f>
        <v>3256889</v>
      </c>
      <c r="I248" s="19">
        <v>2016326.5</v>
      </c>
    </row>
    <row r="249" spans="1:9" x14ac:dyDescent="0.25">
      <c r="A249" s="42"/>
      <c r="B249" s="32"/>
      <c r="C249" s="41"/>
      <c r="D249" s="25" t="s">
        <v>12</v>
      </c>
      <c r="E249" s="20"/>
      <c r="F249" s="20"/>
      <c r="G249" s="20">
        <f>771057</f>
        <v>771057</v>
      </c>
      <c r="H249" s="20">
        <f>911309.5-11500-2000-1300-40000+555859.5</f>
        <v>1412369</v>
      </c>
      <c r="I249" s="20">
        <v>912952.5</v>
      </c>
    </row>
    <row r="250" spans="1:9" x14ac:dyDescent="0.25">
      <c r="A250" s="33">
        <v>9</v>
      </c>
      <c r="B250" s="30" t="s">
        <v>96</v>
      </c>
      <c r="C250" s="39" t="s">
        <v>62</v>
      </c>
      <c r="D250" s="17" t="s">
        <v>13</v>
      </c>
      <c r="E250" s="18">
        <f>SUM(E251:E253)</f>
        <v>0</v>
      </c>
      <c r="F250" s="18">
        <f t="shared" ref="F250:I250" si="87">SUM(F251:F253)</f>
        <v>0</v>
      </c>
      <c r="G250" s="18">
        <f t="shared" si="87"/>
        <v>0</v>
      </c>
      <c r="H250" s="18">
        <f t="shared" si="87"/>
        <v>0</v>
      </c>
      <c r="I250" s="18">
        <f t="shared" si="87"/>
        <v>0</v>
      </c>
    </row>
    <row r="251" spans="1:9" x14ac:dyDescent="0.25">
      <c r="A251" s="34"/>
      <c r="B251" s="31"/>
      <c r="C251" s="40"/>
      <c r="D251" s="26" t="s">
        <v>7</v>
      </c>
      <c r="E251" s="19"/>
      <c r="F251" s="19"/>
      <c r="G251" s="19"/>
      <c r="H251" s="19"/>
      <c r="I251" s="19"/>
    </row>
    <row r="252" spans="1:9" x14ac:dyDescent="0.25">
      <c r="A252" s="34"/>
      <c r="B252" s="31"/>
      <c r="C252" s="40"/>
      <c r="D252" s="26" t="s">
        <v>11</v>
      </c>
      <c r="E252" s="19"/>
      <c r="F252" s="19"/>
      <c r="G252" s="19"/>
      <c r="H252" s="19"/>
      <c r="I252" s="19"/>
    </row>
    <row r="253" spans="1:9" x14ac:dyDescent="0.25">
      <c r="A253" s="42"/>
      <c r="B253" s="32"/>
      <c r="C253" s="41"/>
      <c r="D253" s="25" t="s">
        <v>12</v>
      </c>
      <c r="E253" s="20"/>
      <c r="F253" s="20"/>
      <c r="G253" s="20"/>
      <c r="H253" s="20"/>
      <c r="I253" s="20"/>
    </row>
    <row r="254" spans="1:9" x14ac:dyDescent="0.25">
      <c r="A254" s="33">
        <v>10</v>
      </c>
      <c r="B254" s="30" t="s">
        <v>97</v>
      </c>
      <c r="C254" s="39" t="s">
        <v>62</v>
      </c>
      <c r="D254" s="17" t="s">
        <v>13</v>
      </c>
      <c r="E254" s="18">
        <f>SUM(E255:E257)</f>
        <v>0</v>
      </c>
      <c r="F254" s="18">
        <f t="shared" ref="F254:I254" si="88">SUM(F255:F257)</f>
        <v>0</v>
      </c>
      <c r="G254" s="18">
        <f t="shared" si="88"/>
        <v>0</v>
      </c>
      <c r="H254" s="18">
        <f t="shared" si="88"/>
        <v>0</v>
      </c>
      <c r="I254" s="18">
        <f t="shared" si="88"/>
        <v>0</v>
      </c>
    </row>
    <row r="255" spans="1:9" x14ac:dyDescent="0.25">
      <c r="A255" s="34"/>
      <c r="B255" s="31"/>
      <c r="C255" s="40"/>
      <c r="D255" s="26" t="s">
        <v>7</v>
      </c>
      <c r="E255" s="19"/>
      <c r="F255" s="19"/>
      <c r="G255" s="19"/>
      <c r="H255" s="19"/>
      <c r="I255" s="19"/>
    </row>
    <row r="256" spans="1:9" x14ac:dyDescent="0.25">
      <c r="A256" s="34"/>
      <c r="B256" s="31"/>
      <c r="C256" s="40"/>
      <c r="D256" s="26" t="s">
        <v>11</v>
      </c>
      <c r="E256" s="19"/>
      <c r="F256" s="19"/>
      <c r="G256" s="19"/>
      <c r="H256" s="19"/>
      <c r="I256" s="19"/>
    </row>
    <row r="257" spans="1:9" x14ac:dyDescent="0.25">
      <c r="A257" s="42"/>
      <c r="B257" s="32"/>
      <c r="C257" s="41"/>
      <c r="D257" s="25" t="s">
        <v>12</v>
      </c>
      <c r="E257" s="20"/>
      <c r="F257" s="20"/>
      <c r="G257" s="20"/>
      <c r="H257" s="20"/>
      <c r="I257" s="20"/>
    </row>
    <row r="258" spans="1:9" x14ac:dyDescent="0.25">
      <c r="A258" s="33">
        <v>11</v>
      </c>
      <c r="B258" s="30" t="s">
        <v>98</v>
      </c>
      <c r="C258" s="39" t="s">
        <v>62</v>
      </c>
      <c r="D258" s="17" t="s">
        <v>13</v>
      </c>
      <c r="E258" s="18">
        <f>SUM(E259:E261)</f>
        <v>0</v>
      </c>
      <c r="F258" s="18">
        <f t="shared" ref="F258:I258" si="89">SUM(F259:F261)</f>
        <v>0</v>
      </c>
      <c r="G258" s="18">
        <f t="shared" si="89"/>
        <v>0</v>
      </c>
      <c r="H258" s="18">
        <f t="shared" si="89"/>
        <v>0</v>
      </c>
      <c r="I258" s="18">
        <f t="shared" si="89"/>
        <v>0</v>
      </c>
    </row>
    <row r="259" spans="1:9" x14ac:dyDescent="0.25">
      <c r="A259" s="34"/>
      <c r="B259" s="31"/>
      <c r="C259" s="40"/>
      <c r="D259" s="26" t="s">
        <v>7</v>
      </c>
      <c r="E259" s="19"/>
      <c r="F259" s="19"/>
      <c r="G259" s="19"/>
      <c r="H259" s="19"/>
      <c r="I259" s="19"/>
    </row>
    <row r="260" spans="1:9" x14ac:dyDescent="0.25">
      <c r="A260" s="34"/>
      <c r="B260" s="31"/>
      <c r="C260" s="40"/>
      <c r="D260" s="26" t="s">
        <v>11</v>
      </c>
      <c r="E260" s="19"/>
      <c r="F260" s="19"/>
      <c r="G260" s="19"/>
      <c r="H260" s="19"/>
      <c r="I260" s="19"/>
    </row>
    <row r="261" spans="1:9" x14ac:dyDescent="0.25">
      <c r="A261" s="42"/>
      <c r="B261" s="32"/>
      <c r="C261" s="41"/>
      <c r="D261" s="25" t="s">
        <v>12</v>
      </c>
      <c r="E261" s="20"/>
      <c r="F261" s="20"/>
      <c r="G261" s="20"/>
      <c r="H261" s="20"/>
      <c r="I261" s="20"/>
    </row>
    <row r="262" spans="1:9" x14ac:dyDescent="0.25">
      <c r="A262" s="33">
        <v>12</v>
      </c>
      <c r="B262" s="30" t="s">
        <v>99</v>
      </c>
      <c r="C262" s="39" t="s">
        <v>62</v>
      </c>
      <c r="D262" s="17" t="s">
        <v>13</v>
      </c>
      <c r="E262" s="18">
        <f>SUM(E263:E265)</f>
        <v>0</v>
      </c>
      <c r="F262" s="18">
        <f t="shared" ref="F262:I262" si="90">SUM(F263:F265)</f>
        <v>0</v>
      </c>
      <c r="G262" s="18">
        <f t="shared" si="90"/>
        <v>0</v>
      </c>
      <c r="H262" s="18">
        <f t="shared" si="90"/>
        <v>0</v>
      </c>
      <c r="I262" s="18">
        <f t="shared" si="90"/>
        <v>0</v>
      </c>
    </row>
    <row r="263" spans="1:9" x14ac:dyDescent="0.25">
      <c r="A263" s="34"/>
      <c r="B263" s="31"/>
      <c r="C263" s="40"/>
      <c r="D263" s="26" t="s">
        <v>7</v>
      </c>
      <c r="E263" s="19"/>
      <c r="F263" s="19"/>
      <c r="G263" s="19"/>
      <c r="H263" s="19"/>
      <c r="I263" s="19"/>
    </row>
    <row r="264" spans="1:9" x14ac:dyDescent="0.25">
      <c r="A264" s="34"/>
      <c r="B264" s="31"/>
      <c r="C264" s="40"/>
      <c r="D264" s="26" t="s">
        <v>11</v>
      </c>
      <c r="E264" s="19"/>
      <c r="F264" s="19"/>
      <c r="G264" s="19"/>
      <c r="H264" s="19"/>
      <c r="I264" s="19"/>
    </row>
    <row r="265" spans="1:9" x14ac:dyDescent="0.25">
      <c r="A265" s="42"/>
      <c r="B265" s="32"/>
      <c r="C265" s="41"/>
      <c r="D265" s="25" t="s">
        <v>12</v>
      </c>
      <c r="E265" s="20"/>
      <c r="F265" s="20"/>
      <c r="G265" s="20"/>
      <c r="H265" s="20"/>
      <c r="I265" s="20"/>
    </row>
    <row r="266" spans="1:9" x14ac:dyDescent="0.25">
      <c r="A266" s="33">
        <v>13</v>
      </c>
      <c r="B266" s="30" t="s">
        <v>100</v>
      </c>
      <c r="C266" s="39" t="s">
        <v>62</v>
      </c>
      <c r="D266" s="17" t="s">
        <v>13</v>
      </c>
      <c r="E266" s="18">
        <f>SUM(E267:E269)</f>
        <v>0</v>
      </c>
      <c r="F266" s="18">
        <f t="shared" ref="F266:I266" si="91">SUM(F267:F269)</f>
        <v>0</v>
      </c>
      <c r="G266" s="18">
        <f t="shared" si="91"/>
        <v>0</v>
      </c>
      <c r="H266" s="18">
        <f t="shared" si="91"/>
        <v>0</v>
      </c>
      <c r="I266" s="18">
        <f t="shared" si="91"/>
        <v>0</v>
      </c>
    </row>
    <row r="267" spans="1:9" x14ac:dyDescent="0.25">
      <c r="A267" s="34"/>
      <c r="B267" s="31"/>
      <c r="C267" s="40"/>
      <c r="D267" s="26" t="s">
        <v>7</v>
      </c>
      <c r="E267" s="19"/>
      <c r="F267" s="19"/>
      <c r="G267" s="19"/>
      <c r="H267" s="19"/>
      <c r="I267" s="19"/>
    </row>
    <row r="268" spans="1:9" x14ac:dyDescent="0.25">
      <c r="A268" s="34"/>
      <c r="B268" s="31"/>
      <c r="C268" s="40"/>
      <c r="D268" s="26" t="s">
        <v>11</v>
      </c>
      <c r="E268" s="19"/>
      <c r="F268" s="19"/>
      <c r="G268" s="19"/>
      <c r="H268" s="19"/>
      <c r="I268" s="19"/>
    </row>
    <row r="269" spans="1:9" x14ac:dyDescent="0.25">
      <c r="A269" s="42"/>
      <c r="B269" s="32"/>
      <c r="C269" s="41"/>
      <c r="D269" s="25" t="s">
        <v>12</v>
      </c>
      <c r="E269" s="20"/>
      <c r="F269" s="20"/>
      <c r="G269" s="20"/>
      <c r="H269" s="20"/>
      <c r="I269" s="20"/>
    </row>
    <row r="270" spans="1:9" x14ac:dyDescent="0.25">
      <c r="A270" s="33">
        <v>14</v>
      </c>
      <c r="B270" s="30" t="s">
        <v>101</v>
      </c>
      <c r="C270" s="39" t="s">
        <v>62</v>
      </c>
      <c r="D270" s="17" t="s">
        <v>13</v>
      </c>
      <c r="E270" s="18">
        <f>SUM(E271:E273)</f>
        <v>0</v>
      </c>
      <c r="F270" s="18">
        <f t="shared" ref="F270:I270" si="92">SUM(F271:F273)</f>
        <v>414805.44</v>
      </c>
      <c r="G270" s="18">
        <f t="shared" si="92"/>
        <v>0</v>
      </c>
      <c r="H270" s="18">
        <f t="shared" si="92"/>
        <v>0</v>
      </c>
      <c r="I270" s="18">
        <f t="shared" si="92"/>
        <v>0</v>
      </c>
    </row>
    <row r="271" spans="1:9" x14ac:dyDescent="0.25">
      <c r="A271" s="34"/>
      <c r="B271" s="31"/>
      <c r="C271" s="40"/>
      <c r="D271" s="26" t="s">
        <v>7</v>
      </c>
      <c r="E271" s="19"/>
      <c r="F271" s="19"/>
      <c r="G271" s="19"/>
      <c r="H271" s="19"/>
      <c r="I271" s="19"/>
    </row>
    <row r="272" spans="1:9" x14ac:dyDescent="0.25">
      <c r="A272" s="34"/>
      <c r="B272" s="31"/>
      <c r="C272" s="40"/>
      <c r="D272" s="26" t="s">
        <v>11</v>
      </c>
      <c r="E272" s="19"/>
      <c r="F272" s="19"/>
      <c r="G272" s="19"/>
      <c r="H272" s="19"/>
      <c r="I272" s="19"/>
    </row>
    <row r="273" spans="1:12" x14ac:dyDescent="0.25">
      <c r="A273" s="42"/>
      <c r="B273" s="32"/>
      <c r="C273" s="41"/>
      <c r="D273" s="25" t="s">
        <v>12</v>
      </c>
      <c r="E273" s="20"/>
      <c r="F273" s="20">
        <v>414805.44</v>
      </c>
      <c r="G273" s="20"/>
      <c r="H273" s="20"/>
      <c r="I273" s="20"/>
    </row>
    <row r="274" spans="1:12" x14ac:dyDescent="0.25">
      <c r="A274" s="33">
        <v>15</v>
      </c>
      <c r="B274" s="30" t="s">
        <v>102</v>
      </c>
      <c r="C274" s="39" t="s">
        <v>62</v>
      </c>
      <c r="D274" s="17" t="s">
        <v>13</v>
      </c>
      <c r="E274" s="18">
        <f>SUM(E275:E277)</f>
        <v>0</v>
      </c>
      <c r="F274" s="18">
        <f t="shared" ref="F274:I274" si="93">SUM(F275:F277)</f>
        <v>666666.67000000004</v>
      </c>
      <c r="G274" s="18">
        <f t="shared" si="93"/>
        <v>0</v>
      </c>
      <c r="H274" s="18">
        <f t="shared" si="93"/>
        <v>0</v>
      </c>
      <c r="I274" s="18">
        <f t="shared" si="93"/>
        <v>0</v>
      </c>
    </row>
    <row r="275" spans="1:12" x14ac:dyDescent="0.25">
      <c r="A275" s="34"/>
      <c r="B275" s="31"/>
      <c r="C275" s="40"/>
      <c r="D275" s="26" t="s">
        <v>7</v>
      </c>
      <c r="E275" s="19"/>
      <c r="F275" s="19"/>
      <c r="G275" s="19"/>
      <c r="H275" s="19"/>
      <c r="I275" s="19"/>
    </row>
    <row r="276" spans="1:12" x14ac:dyDescent="0.25">
      <c r="A276" s="34"/>
      <c r="B276" s="31"/>
      <c r="C276" s="40"/>
      <c r="D276" s="26" t="s">
        <v>11</v>
      </c>
      <c r="E276" s="19"/>
      <c r="F276" s="19">
        <v>600000</v>
      </c>
      <c r="G276" s="19"/>
      <c r="H276" s="19"/>
      <c r="I276" s="19"/>
    </row>
    <row r="277" spans="1:12" x14ac:dyDescent="0.25">
      <c r="A277" s="42"/>
      <c r="B277" s="32"/>
      <c r="C277" s="41"/>
      <c r="D277" s="25" t="s">
        <v>12</v>
      </c>
      <c r="E277" s="20"/>
      <c r="F277" s="20">
        <v>66666.67</v>
      </c>
      <c r="G277" s="20"/>
      <c r="H277" s="20"/>
      <c r="I277" s="20"/>
    </row>
    <row r="278" spans="1:12" ht="16.95" customHeight="1" x14ac:dyDescent="0.25">
      <c r="A278" s="33">
        <v>16</v>
      </c>
      <c r="B278" s="30" t="s">
        <v>103</v>
      </c>
      <c r="C278" s="39" t="s">
        <v>62</v>
      </c>
      <c r="D278" s="17" t="s">
        <v>13</v>
      </c>
      <c r="E278" s="18">
        <f>SUM(E279:E281)</f>
        <v>0</v>
      </c>
      <c r="F278" s="18">
        <f t="shared" ref="F278:I278" si="94">SUM(F279:F281)</f>
        <v>2000000</v>
      </c>
      <c r="G278" s="18">
        <f t="shared" si="94"/>
        <v>1500000</v>
      </c>
      <c r="H278" s="18">
        <f t="shared" si="94"/>
        <v>0</v>
      </c>
      <c r="I278" s="18">
        <f t="shared" si="94"/>
        <v>0</v>
      </c>
    </row>
    <row r="279" spans="1:12" ht="16.95" customHeight="1" x14ac:dyDescent="0.25">
      <c r="A279" s="34"/>
      <c r="B279" s="31"/>
      <c r="C279" s="40"/>
      <c r="D279" s="26" t="s">
        <v>7</v>
      </c>
      <c r="E279" s="19"/>
      <c r="F279" s="19"/>
      <c r="G279" s="19"/>
      <c r="H279" s="19"/>
      <c r="I279" s="19"/>
    </row>
    <row r="280" spans="1:12" ht="16.95" customHeight="1" x14ac:dyDescent="0.25">
      <c r="A280" s="34"/>
      <c r="B280" s="31"/>
      <c r="C280" s="40"/>
      <c r="D280" s="26" t="s">
        <v>11</v>
      </c>
      <c r="E280" s="19"/>
      <c r="F280" s="19">
        <v>2000000</v>
      </c>
      <c r="G280" s="19">
        <v>1500000</v>
      </c>
      <c r="H280" s="19"/>
      <c r="I280" s="19"/>
    </row>
    <row r="281" spans="1:12" ht="16.95" customHeight="1" x14ac:dyDescent="0.25">
      <c r="A281" s="42"/>
      <c r="B281" s="32"/>
      <c r="C281" s="41"/>
      <c r="D281" s="25" t="s">
        <v>12</v>
      </c>
      <c r="E281" s="20"/>
      <c r="F281" s="20"/>
      <c r="G281" s="20"/>
      <c r="H281" s="20"/>
      <c r="I281" s="20"/>
    </row>
    <row r="282" spans="1:12" s="14" customFormat="1" ht="13.95" customHeight="1" x14ac:dyDescent="0.25">
      <c r="A282" s="46" t="s">
        <v>31</v>
      </c>
      <c r="B282" s="46" t="s">
        <v>32</v>
      </c>
      <c r="C282" s="39" t="s">
        <v>62</v>
      </c>
      <c r="D282" s="12" t="s">
        <v>10</v>
      </c>
      <c r="E282" s="13">
        <f>SUM(E283:E285)</f>
        <v>1114196.5</v>
      </c>
      <c r="F282" s="13">
        <f t="shared" ref="F282:I282" si="95">SUM(F283:F285)</f>
        <v>1051770.44</v>
      </c>
      <c r="G282" s="13">
        <f t="shared" si="95"/>
        <v>1052711.3900000001</v>
      </c>
      <c r="H282" s="13">
        <f t="shared" si="95"/>
        <v>867635.60000000009</v>
      </c>
      <c r="I282" s="13">
        <f t="shared" si="95"/>
        <v>1036078.05</v>
      </c>
      <c r="K282" s="15"/>
      <c r="L282" s="15"/>
    </row>
    <row r="283" spans="1:12" s="14" customFormat="1" x14ac:dyDescent="0.25">
      <c r="A283" s="47"/>
      <c r="B283" s="47"/>
      <c r="C283" s="40"/>
      <c r="D283" s="24" t="s">
        <v>7</v>
      </c>
      <c r="E283" s="16">
        <f>E288+E292+E300</f>
        <v>0</v>
      </c>
      <c r="F283" s="16">
        <f t="shared" ref="F283:G283" si="96">F288+F292+F300</f>
        <v>0</v>
      </c>
      <c r="G283" s="16">
        <f t="shared" si="96"/>
        <v>0</v>
      </c>
      <c r="H283" s="16">
        <f t="shared" ref="H283" si="97">H288+H292+H300</f>
        <v>0</v>
      </c>
      <c r="I283" s="16"/>
    </row>
    <row r="284" spans="1:12" s="14" customFormat="1" x14ac:dyDescent="0.25">
      <c r="A284" s="47"/>
      <c r="B284" s="47"/>
      <c r="C284" s="40"/>
      <c r="D284" s="24" t="s">
        <v>11</v>
      </c>
      <c r="E284" s="16">
        <f t="shared" ref="E284:G285" si="98">E289+E293+E301</f>
        <v>558281.1</v>
      </c>
      <c r="F284" s="16">
        <f t="shared" si="98"/>
        <v>545232.27</v>
      </c>
      <c r="G284" s="16">
        <f t="shared" si="98"/>
        <v>532056.83000000007</v>
      </c>
      <c r="H284" s="16">
        <f t="shared" ref="H284:I284" si="99">H289+H293+H301</f>
        <v>520581.36000000004</v>
      </c>
      <c r="I284" s="16">
        <f t="shared" si="99"/>
        <v>515656.83</v>
      </c>
    </row>
    <row r="285" spans="1:12" s="14" customFormat="1" x14ac:dyDescent="0.25">
      <c r="A285" s="48"/>
      <c r="B285" s="48"/>
      <c r="C285" s="41"/>
      <c r="D285" s="24" t="s">
        <v>12</v>
      </c>
      <c r="E285" s="16">
        <f t="shared" si="98"/>
        <v>555915.39999999991</v>
      </c>
      <c r="F285" s="16">
        <f t="shared" si="98"/>
        <v>506538.17</v>
      </c>
      <c r="G285" s="16">
        <f t="shared" si="98"/>
        <v>520654.56</v>
      </c>
      <c r="H285" s="16">
        <f t="shared" ref="H285:I285" si="100">H290+H294+H302</f>
        <v>347054.24</v>
      </c>
      <c r="I285" s="16">
        <f t="shared" si="100"/>
        <v>520421.22</v>
      </c>
      <c r="J285" s="15"/>
      <c r="L285" s="15"/>
    </row>
    <row r="286" spans="1:12" s="14" customFormat="1" x14ac:dyDescent="0.25">
      <c r="A286" s="35" t="s">
        <v>33</v>
      </c>
      <c r="B286" s="36"/>
      <c r="C286" s="36"/>
      <c r="D286" s="36"/>
      <c r="E286" s="36"/>
      <c r="F286" s="36"/>
      <c r="G286" s="36"/>
      <c r="H286" s="36"/>
      <c r="I286" s="37"/>
    </row>
    <row r="287" spans="1:12" s="14" customFormat="1" x14ac:dyDescent="0.25">
      <c r="A287" s="33">
        <v>1</v>
      </c>
      <c r="B287" s="30" t="s">
        <v>56</v>
      </c>
      <c r="C287" s="39" t="s">
        <v>62</v>
      </c>
      <c r="D287" s="17" t="s">
        <v>13</v>
      </c>
      <c r="E287" s="18">
        <f>SUM(E288:E290)</f>
        <v>49200</v>
      </c>
      <c r="F287" s="18">
        <f t="shared" ref="F287:I287" si="101">SUM(F288:F290)</f>
        <v>0</v>
      </c>
      <c r="G287" s="18">
        <f t="shared" si="101"/>
        <v>20000</v>
      </c>
      <c r="H287" s="18">
        <f t="shared" si="101"/>
        <v>0</v>
      </c>
      <c r="I287" s="18">
        <f t="shared" si="101"/>
        <v>20000</v>
      </c>
    </row>
    <row r="288" spans="1:12" s="14" customFormat="1" x14ac:dyDescent="0.25">
      <c r="A288" s="34"/>
      <c r="B288" s="31"/>
      <c r="C288" s="40"/>
      <c r="D288" s="26" t="s">
        <v>7</v>
      </c>
      <c r="E288" s="19"/>
      <c r="F288" s="19"/>
      <c r="G288" s="19"/>
      <c r="H288" s="19"/>
      <c r="I288" s="19"/>
    </row>
    <row r="289" spans="1:11" s="14" customFormat="1" x14ac:dyDescent="0.25">
      <c r="A289" s="34"/>
      <c r="B289" s="31"/>
      <c r="C289" s="40"/>
      <c r="D289" s="26" t="s">
        <v>11</v>
      </c>
      <c r="E289" s="19"/>
      <c r="F289" s="19"/>
      <c r="G289" s="19"/>
      <c r="H289" s="19"/>
      <c r="I289" s="19"/>
    </row>
    <row r="290" spans="1:11" s="14" customFormat="1" x14ac:dyDescent="0.25">
      <c r="A290" s="34"/>
      <c r="B290" s="32"/>
      <c r="C290" s="41"/>
      <c r="D290" s="25" t="s">
        <v>12</v>
      </c>
      <c r="E290" s="19">
        <f>20000+29200</f>
        <v>49200</v>
      </c>
      <c r="F290" s="19"/>
      <c r="G290" s="20">
        <f>20000</f>
        <v>20000</v>
      </c>
      <c r="H290" s="20"/>
      <c r="I290" s="20">
        <v>20000</v>
      </c>
    </row>
    <row r="291" spans="1:11" x14ac:dyDescent="0.25">
      <c r="A291" s="33">
        <v>2</v>
      </c>
      <c r="B291" s="30" t="s">
        <v>58</v>
      </c>
      <c r="C291" s="39" t="s">
        <v>62</v>
      </c>
      <c r="D291" s="17" t="s">
        <v>13</v>
      </c>
      <c r="E291" s="18">
        <f>SUM(E292:E294)</f>
        <v>930468.5</v>
      </c>
      <c r="F291" s="18">
        <f t="shared" ref="F291:I291" si="102">SUM(F292:F294)</f>
        <v>908720.44</v>
      </c>
      <c r="G291" s="18">
        <f t="shared" si="102"/>
        <v>886761.39000000013</v>
      </c>
      <c r="H291" s="18">
        <f t="shared" si="102"/>
        <v>867635.60000000009</v>
      </c>
      <c r="I291" s="18">
        <f t="shared" si="102"/>
        <v>859428.05</v>
      </c>
    </row>
    <row r="292" spans="1:11" x14ac:dyDescent="0.25">
      <c r="A292" s="34"/>
      <c r="B292" s="31"/>
      <c r="C292" s="40"/>
      <c r="D292" s="26" t="s">
        <v>7</v>
      </c>
      <c r="E292" s="19"/>
      <c r="F292" s="19"/>
      <c r="G292" s="19"/>
      <c r="H292" s="19"/>
      <c r="I292" s="19"/>
    </row>
    <row r="293" spans="1:11" x14ac:dyDescent="0.25">
      <c r="A293" s="34"/>
      <c r="B293" s="31"/>
      <c r="C293" s="40"/>
      <c r="D293" s="26" t="s">
        <v>11</v>
      </c>
      <c r="E293" s="19">
        <f>E297</f>
        <v>558281.1</v>
      </c>
      <c r="F293" s="19">
        <f t="shared" ref="F293" si="103">F297</f>
        <v>545232.27</v>
      </c>
      <c r="G293" s="19">
        <f t="shared" ref="G293" si="104">G297</f>
        <v>532056.83000000007</v>
      </c>
      <c r="H293" s="19">
        <f t="shared" ref="H293:I293" si="105">H297</f>
        <v>520581.36000000004</v>
      </c>
      <c r="I293" s="19">
        <f t="shared" si="105"/>
        <v>515656.83</v>
      </c>
    </row>
    <row r="294" spans="1:11" x14ac:dyDescent="0.25">
      <c r="A294" s="34"/>
      <c r="B294" s="31"/>
      <c r="C294" s="41"/>
      <c r="D294" s="25" t="s">
        <v>12</v>
      </c>
      <c r="E294" s="20">
        <f>E298</f>
        <v>372187.39999999997</v>
      </c>
      <c r="F294" s="20">
        <f t="shared" ref="F294" si="106">F298</f>
        <v>363488.17</v>
      </c>
      <c r="G294" s="20">
        <f t="shared" ref="G294" si="107">G298</f>
        <v>354704.56</v>
      </c>
      <c r="H294" s="20">
        <f t="shared" ref="H294:I294" si="108">H298</f>
        <v>347054.24</v>
      </c>
      <c r="I294" s="20">
        <f t="shared" si="108"/>
        <v>343771.22</v>
      </c>
      <c r="K294" s="22"/>
    </row>
    <row r="295" spans="1:11" x14ac:dyDescent="0.25">
      <c r="A295" s="54" t="s">
        <v>57</v>
      </c>
      <c r="B295" s="30" t="s">
        <v>59</v>
      </c>
      <c r="C295" s="39" t="s">
        <v>62</v>
      </c>
      <c r="D295" s="17" t="s">
        <v>13</v>
      </c>
      <c r="E295" s="18">
        <f>SUM(E296:E298)</f>
        <v>930468.5</v>
      </c>
      <c r="F295" s="18">
        <f t="shared" ref="F295:I295" si="109">SUM(F296:F298)</f>
        <v>908720.44</v>
      </c>
      <c r="G295" s="18">
        <f t="shared" si="109"/>
        <v>886761.39000000013</v>
      </c>
      <c r="H295" s="18">
        <f t="shared" si="109"/>
        <v>867635.60000000009</v>
      </c>
      <c r="I295" s="18">
        <f t="shared" si="109"/>
        <v>859428.05</v>
      </c>
      <c r="K295" s="22"/>
    </row>
    <row r="296" spans="1:11" x14ac:dyDescent="0.25">
      <c r="A296" s="55"/>
      <c r="B296" s="31"/>
      <c r="C296" s="40"/>
      <c r="D296" s="26" t="s">
        <v>7</v>
      </c>
      <c r="E296" s="19"/>
      <c r="F296" s="19"/>
      <c r="G296" s="19"/>
      <c r="H296" s="19"/>
      <c r="I296" s="19"/>
      <c r="K296" s="22"/>
    </row>
    <row r="297" spans="1:11" x14ac:dyDescent="0.25">
      <c r="A297" s="55"/>
      <c r="B297" s="31"/>
      <c r="C297" s="40"/>
      <c r="D297" s="26" t="s">
        <v>11</v>
      </c>
      <c r="E297" s="19">
        <f>683500-113521.9-11697</f>
        <v>558281.1</v>
      </c>
      <c r="F297" s="19">
        <f>489381.1+55851.17</f>
        <v>545232.27</v>
      </c>
      <c r="G297" s="19">
        <f>542732.27-10675.44</f>
        <v>532056.83000000007</v>
      </c>
      <c r="H297" s="19">
        <f>515656.83+4924.53</f>
        <v>520581.36000000004</v>
      </c>
      <c r="I297" s="19">
        <v>515656.83</v>
      </c>
      <c r="K297" s="22"/>
    </row>
    <row r="298" spans="1:11" x14ac:dyDescent="0.25">
      <c r="A298" s="56"/>
      <c r="B298" s="32"/>
      <c r="C298" s="41"/>
      <c r="D298" s="25" t="s">
        <v>12</v>
      </c>
      <c r="E298" s="19">
        <f>455666.67-75681.27-7798</f>
        <v>372187.39999999997</v>
      </c>
      <c r="F298" s="20">
        <f>326254.07+37234.1</f>
        <v>363488.17</v>
      </c>
      <c r="G298" s="20">
        <f>363088.17-8383.61</f>
        <v>354704.56</v>
      </c>
      <c r="H298" s="20">
        <f>343771.22+3283.02</f>
        <v>347054.24</v>
      </c>
      <c r="I298" s="20">
        <v>343771.22</v>
      </c>
      <c r="K298" s="22"/>
    </row>
    <row r="299" spans="1:11" x14ac:dyDescent="0.25">
      <c r="A299" s="33">
        <v>3</v>
      </c>
      <c r="B299" s="30" t="s">
        <v>45</v>
      </c>
      <c r="C299" s="39" t="s">
        <v>62</v>
      </c>
      <c r="D299" s="17" t="s">
        <v>13</v>
      </c>
      <c r="E299" s="18">
        <f>SUM(E300:E302)</f>
        <v>134528</v>
      </c>
      <c r="F299" s="18">
        <f t="shared" ref="F299:I299" si="110">SUM(F300:F302)</f>
        <v>143050</v>
      </c>
      <c r="G299" s="18">
        <f t="shared" si="110"/>
        <v>145950</v>
      </c>
      <c r="H299" s="18">
        <f t="shared" si="110"/>
        <v>0</v>
      </c>
      <c r="I299" s="18">
        <f t="shared" si="110"/>
        <v>156650</v>
      </c>
    </row>
    <row r="300" spans="1:11" x14ac:dyDescent="0.25">
      <c r="A300" s="34"/>
      <c r="B300" s="31"/>
      <c r="C300" s="40"/>
      <c r="D300" s="26" t="s">
        <v>7</v>
      </c>
      <c r="E300" s="19"/>
      <c r="F300" s="19"/>
      <c r="G300" s="19"/>
      <c r="H300" s="19"/>
      <c r="I300" s="19"/>
    </row>
    <row r="301" spans="1:11" x14ac:dyDescent="0.25">
      <c r="A301" s="34"/>
      <c r="B301" s="31"/>
      <c r="C301" s="40"/>
      <c r="D301" s="26" t="s">
        <v>11</v>
      </c>
      <c r="E301" s="19"/>
      <c r="F301" s="19"/>
      <c r="G301" s="19"/>
      <c r="H301" s="19"/>
      <c r="I301" s="19"/>
    </row>
    <row r="302" spans="1:11" x14ac:dyDescent="0.25">
      <c r="A302" s="42"/>
      <c r="B302" s="32"/>
      <c r="C302" s="41"/>
      <c r="D302" s="25" t="s">
        <v>12</v>
      </c>
      <c r="E302" s="20">
        <f>156650-22122</f>
        <v>134528</v>
      </c>
      <c r="F302" s="20">
        <f>156650-13600</f>
        <v>143050</v>
      </c>
      <c r="G302" s="20">
        <f>156650-10700</f>
        <v>145950</v>
      </c>
      <c r="H302" s="20"/>
      <c r="I302" s="20">
        <v>156650</v>
      </c>
    </row>
    <row r="303" spans="1:11" ht="14.4" x14ac:dyDescent="0.25">
      <c r="A303" s="46" t="s">
        <v>42</v>
      </c>
      <c r="B303" s="46" t="s">
        <v>43</v>
      </c>
      <c r="C303" s="39" t="s">
        <v>62</v>
      </c>
      <c r="D303" s="12" t="s">
        <v>10</v>
      </c>
      <c r="E303" s="13">
        <f>SUM(E304:E306)</f>
        <v>150000</v>
      </c>
      <c r="F303" s="13">
        <f t="shared" ref="F303:G303" si="111">SUM(F304:F306)</f>
        <v>0</v>
      </c>
      <c r="G303" s="13">
        <f t="shared" si="111"/>
        <v>0</v>
      </c>
      <c r="H303" s="13">
        <f t="shared" ref="H303:I303" si="112">SUM(H304:H306)</f>
        <v>0</v>
      </c>
      <c r="I303" s="13">
        <f t="shared" si="112"/>
        <v>0</v>
      </c>
    </row>
    <row r="304" spans="1:11" x14ac:dyDescent="0.25">
      <c r="A304" s="47"/>
      <c r="B304" s="47"/>
      <c r="C304" s="40"/>
      <c r="D304" s="24" t="s">
        <v>7</v>
      </c>
      <c r="E304" s="16">
        <f>E309+E313</f>
        <v>0</v>
      </c>
      <c r="F304" s="16">
        <f t="shared" ref="F304:G304" si="113">F309+F313</f>
        <v>0</v>
      </c>
      <c r="G304" s="16">
        <f t="shared" si="113"/>
        <v>0</v>
      </c>
      <c r="H304" s="16">
        <f t="shared" ref="H304:I304" si="114">H309+H313</f>
        <v>0</v>
      </c>
      <c r="I304" s="16">
        <f t="shared" si="114"/>
        <v>0</v>
      </c>
    </row>
    <row r="305" spans="1:11" x14ac:dyDescent="0.25">
      <c r="A305" s="47"/>
      <c r="B305" s="47"/>
      <c r="C305" s="40"/>
      <c r="D305" s="24" t="s">
        <v>11</v>
      </c>
      <c r="E305" s="16">
        <f t="shared" ref="E305:G306" si="115">E310+E314</f>
        <v>0</v>
      </c>
      <c r="F305" s="16">
        <f t="shared" si="115"/>
        <v>0</v>
      </c>
      <c r="G305" s="16">
        <f t="shared" si="115"/>
        <v>0</v>
      </c>
      <c r="H305" s="16">
        <f t="shared" ref="H305:I305" si="116">H310+H314</f>
        <v>0</v>
      </c>
      <c r="I305" s="16">
        <f t="shared" si="116"/>
        <v>0</v>
      </c>
    </row>
    <row r="306" spans="1:11" x14ac:dyDescent="0.25">
      <c r="A306" s="48"/>
      <c r="B306" s="48"/>
      <c r="C306" s="41"/>
      <c r="D306" s="24" t="s">
        <v>12</v>
      </c>
      <c r="E306" s="16">
        <f t="shared" si="115"/>
        <v>150000</v>
      </c>
      <c r="F306" s="16">
        <f t="shared" si="115"/>
        <v>0</v>
      </c>
      <c r="G306" s="16">
        <f t="shared" si="115"/>
        <v>0</v>
      </c>
      <c r="H306" s="16">
        <f t="shared" ref="H306:I306" si="117">H311+H315</f>
        <v>0</v>
      </c>
      <c r="I306" s="16">
        <f t="shared" si="117"/>
        <v>0</v>
      </c>
    </row>
    <row r="307" spans="1:11" ht="27.6" customHeight="1" x14ac:dyDescent="0.25">
      <c r="A307" s="35" t="s">
        <v>44</v>
      </c>
      <c r="B307" s="36"/>
      <c r="C307" s="36"/>
      <c r="D307" s="36"/>
      <c r="E307" s="36"/>
      <c r="F307" s="36"/>
      <c r="G307" s="36"/>
      <c r="H307" s="36"/>
      <c r="I307" s="37"/>
    </row>
    <row r="308" spans="1:11" x14ac:dyDescent="0.25">
      <c r="A308" s="33">
        <v>1</v>
      </c>
      <c r="B308" s="30" t="s">
        <v>46</v>
      </c>
      <c r="C308" s="39" t="s">
        <v>62</v>
      </c>
      <c r="D308" s="17" t="s">
        <v>13</v>
      </c>
      <c r="E308" s="18">
        <f>SUM(E309:E311)</f>
        <v>150000</v>
      </c>
      <c r="F308" s="18">
        <f t="shared" ref="F308:I308" si="118">SUM(F309:F311)</f>
        <v>0</v>
      </c>
      <c r="G308" s="18">
        <f t="shared" si="118"/>
        <v>0</v>
      </c>
      <c r="H308" s="18">
        <f t="shared" si="118"/>
        <v>0</v>
      </c>
      <c r="I308" s="18">
        <f t="shared" si="118"/>
        <v>0</v>
      </c>
    </row>
    <row r="309" spans="1:11" x14ac:dyDescent="0.25">
      <c r="A309" s="34"/>
      <c r="B309" s="31"/>
      <c r="C309" s="40"/>
      <c r="D309" s="26" t="s">
        <v>7</v>
      </c>
      <c r="E309" s="19"/>
      <c r="F309" s="19"/>
      <c r="G309" s="19"/>
      <c r="H309" s="19"/>
      <c r="I309" s="19"/>
    </row>
    <row r="310" spans="1:11" x14ac:dyDescent="0.25">
      <c r="A310" s="34"/>
      <c r="B310" s="31"/>
      <c r="C310" s="40"/>
      <c r="D310" s="26" t="s">
        <v>11</v>
      </c>
      <c r="E310" s="19"/>
      <c r="F310" s="19"/>
      <c r="G310" s="19"/>
      <c r="H310" s="19"/>
      <c r="I310" s="19"/>
    </row>
    <row r="311" spans="1:11" x14ac:dyDescent="0.25">
      <c r="A311" s="34"/>
      <c r="B311" s="31"/>
      <c r="C311" s="41"/>
      <c r="D311" s="25" t="s">
        <v>12</v>
      </c>
      <c r="E311" s="19">
        <v>150000</v>
      </c>
      <c r="F311" s="19"/>
      <c r="G311" s="20"/>
      <c r="H311" s="20"/>
      <c r="I311" s="20"/>
      <c r="K311" s="22"/>
    </row>
    <row r="312" spans="1:11" x14ac:dyDescent="0.25">
      <c r="A312" s="33">
        <v>2</v>
      </c>
      <c r="B312" s="30" t="s">
        <v>47</v>
      </c>
      <c r="C312" s="39" t="s">
        <v>62</v>
      </c>
      <c r="D312" s="17" t="s">
        <v>13</v>
      </c>
      <c r="E312" s="18">
        <f>SUM(E313:E315)</f>
        <v>0</v>
      </c>
      <c r="F312" s="18">
        <f t="shared" ref="F312:I312" si="119">SUM(F313:F315)</f>
        <v>0</v>
      </c>
      <c r="G312" s="18">
        <f t="shared" si="119"/>
        <v>0</v>
      </c>
      <c r="H312" s="18">
        <f t="shared" si="119"/>
        <v>0</v>
      </c>
      <c r="I312" s="18">
        <f t="shared" si="119"/>
        <v>0</v>
      </c>
    </row>
    <row r="313" spans="1:11" x14ac:dyDescent="0.25">
      <c r="A313" s="34"/>
      <c r="B313" s="31"/>
      <c r="C313" s="40"/>
      <c r="D313" s="26" t="s">
        <v>7</v>
      </c>
      <c r="E313" s="19"/>
      <c r="F313" s="19"/>
      <c r="G313" s="19"/>
      <c r="H313" s="19"/>
      <c r="I313" s="19"/>
    </row>
    <row r="314" spans="1:11" x14ac:dyDescent="0.25">
      <c r="A314" s="34"/>
      <c r="B314" s="31"/>
      <c r="C314" s="40"/>
      <c r="D314" s="26" t="s">
        <v>11</v>
      </c>
      <c r="E314" s="19"/>
      <c r="F314" s="19"/>
      <c r="G314" s="19"/>
      <c r="H314" s="19"/>
      <c r="I314" s="19"/>
    </row>
    <row r="315" spans="1:11" x14ac:dyDescent="0.25">
      <c r="A315" s="42"/>
      <c r="B315" s="32"/>
      <c r="C315" s="41"/>
      <c r="D315" s="25" t="s">
        <v>12</v>
      </c>
      <c r="E315" s="20"/>
      <c r="F315" s="20"/>
      <c r="G315" s="20"/>
      <c r="H315" s="20"/>
      <c r="I315" s="20"/>
    </row>
    <row r="316" spans="1:11" ht="14.4" x14ac:dyDescent="0.25">
      <c r="A316" s="46" t="s">
        <v>48</v>
      </c>
      <c r="B316" s="46" t="s">
        <v>49</v>
      </c>
      <c r="C316" s="39" t="s">
        <v>62</v>
      </c>
      <c r="D316" s="12" t="s">
        <v>10</v>
      </c>
      <c r="E316" s="13">
        <f>SUM(E317:E319)</f>
        <v>22947821</v>
      </c>
      <c r="F316" s="13">
        <f t="shared" ref="F316:I316" si="120">SUM(F317:F319)</f>
        <v>22553649.690000001</v>
      </c>
      <c r="G316" s="13">
        <f t="shared" si="120"/>
        <v>22794210.800000001</v>
      </c>
      <c r="H316" s="13">
        <f t="shared" si="120"/>
        <v>23624225.049999997</v>
      </c>
      <c r="I316" s="13">
        <f t="shared" si="120"/>
        <v>23853920.219999999</v>
      </c>
    </row>
    <row r="317" spans="1:11" x14ac:dyDescent="0.25">
      <c r="A317" s="47"/>
      <c r="B317" s="47"/>
      <c r="C317" s="40"/>
      <c r="D317" s="24" t="s">
        <v>7</v>
      </c>
      <c r="E317" s="16">
        <f>E322</f>
        <v>0</v>
      </c>
      <c r="F317" s="16">
        <f t="shared" ref="F317:G317" si="121">F322</f>
        <v>0</v>
      </c>
      <c r="G317" s="16">
        <f t="shared" si="121"/>
        <v>0</v>
      </c>
      <c r="H317" s="16">
        <f t="shared" ref="H317:I317" si="122">H322</f>
        <v>0</v>
      </c>
      <c r="I317" s="16">
        <f t="shared" si="122"/>
        <v>0</v>
      </c>
    </row>
    <row r="318" spans="1:11" x14ac:dyDescent="0.25">
      <c r="A318" s="47"/>
      <c r="B318" s="47"/>
      <c r="C318" s="40"/>
      <c r="D318" s="24" t="s">
        <v>11</v>
      </c>
      <c r="E318" s="16">
        <f>E323</f>
        <v>0</v>
      </c>
      <c r="F318" s="16">
        <f t="shared" ref="F318:G318" si="123">F323</f>
        <v>0</v>
      </c>
      <c r="G318" s="16">
        <f t="shared" si="123"/>
        <v>0</v>
      </c>
      <c r="H318" s="16">
        <f t="shared" ref="H318:I318" si="124">H323</f>
        <v>0</v>
      </c>
      <c r="I318" s="16">
        <f t="shared" si="124"/>
        <v>0</v>
      </c>
    </row>
    <row r="319" spans="1:11" x14ac:dyDescent="0.25">
      <c r="A319" s="48"/>
      <c r="B319" s="48"/>
      <c r="C319" s="41"/>
      <c r="D319" s="24" t="s">
        <v>12</v>
      </c>
      <c r="E319" s="16">
        <f>E324</f>
        <v>22947821</v>
      </c>
      <c r="F319" s="16">
        <f t="shared" ref="F319:G319" si="125">F324</f>
        <v>22553649.690000001</v>
      </c>
      <c r="G319" s="16">
        <f t="shared" si="125"/>
        <v>22794210.800000001</v>
      </c>
      <c r="H319" s="16">
        <f t="shared" ref="H319:I319" si="126">H324</f>
        <v>23624225.049999997</v>
      </c>
      <c r="I319" s="16">
        <f t="shared" si="126"/>
        <v>23853920.219999999</v>
      </c>
    </row>
    <row r="320" spans="1:11" x14ac:dyDescent="0.25">
      <c r="A320" s="29" t="s">
        <v>50</v>
      </c>
      <c r="B320" s="29"/>
      <c r="C320" s="29"/>
      <c r="D320" s="29"/>
      <c r="E320" s="29"/>
      <c r="F320" s="29"/>
      <c r="G320" s="29"/>
      <c r="H320" s="29"/>
      <c r="I320" s="29"/>
    </row>
    <row r="321" spans="1:11" x14ac:dyDescent="0.25">
      <c r="A321" s="38">
        <v>1</v>
      </c>
      <c r="B321" s="57" t="s">
        <v>51</v>
      </c>
      <c r="C321" s="39" t="s">
        <v>62</v>
      </c>
      <c r="D321" s="17" t="s">
        <v>13</v>
      </c>
      <c r="E321" s="18">
        <f>SUM(E322:E324)</f>
        <v>22947821</v>
      </c>
      <c r="F321" s="18">
        <f t="shared" ref="F321:I321" si="127">SUM(F322:F324)</f>
        <v>22553649.690000001</v>
      </c>
      <c r="G321" s="18">
        <f t="shared" si="127"/>
        <v>22794210.800000001</v>
      </c>
      <c r="H321" s="18">
        <f t="shared" si="127"/>
        <v>23624225.049999997</v>
      </c>
      <c r="I321" s="18">
        <f t="shared" si="127"/>
        <v>23853920.219999999</v>
      </c>
    </row>
    <row r="322" spans="1:11" x14ac:dyDescent="0.25">
      <c r="A322" s="38"/>
      <c r="B322" s="57"/>
      <c r="C322" s="40"/>
      <c r="D322" s="26" t="s">
        <v>7</v>
      </c>
      <c r="E322" s="19"/>
      <c r="F322" s="19"/>
      <c r="G322" s="19"/>
      <c r="H322" s="19"/>
      <c r="I322" s="19"/>
    </row>
    <row r="323" spans="1:11" x14ac:dyDescent="0.25">
      <c r="A323" s="38"/>
      <c r="B323" s="57"/>
      <c r="C323" s="40"/>
      <c r="D323" s="26" t="s">
        <v>11</v>
      </c>
      <c r="E323" s="19"/>
      <c r="F323" s="19"/>
      <c r="G323" s="19"/>
      <c r="H323" s="19"/>
      <c r="I323" s="19"/>
    </row>
    <row r="324" spans="1:11" x14ac:dyDescent="0.25">
      <c r="A324" s="38"/>
      <c r="B324" s="57"/>
      <c r="C324" s="41"/>
      <c r="D324" s="26" t="s">
        <v>12</v>
      </c>
      <c r="E324" s="19">
        <f>25311329-2163508-200000</f>
        <v>22947821</v>
      </c>
      <c r="F324" s="19">
        <f>22244182+70476+12928.5+222700-46543.81+49907</f>
        <v>22553649.690000001</v>
      </c>
      <c r="G324" s="19">
        <f>22162154+76128.42+5404.72+24249.96+182795.4+343478.3</f>
        <v>22794210.800000001</v>
      </c>
      <c r="H324" s="19">
        <f>24548160.22-735279.5-222054.41+275000-100000-219072.91+77471.65</f>
        <v>23624225.049999997</v>
      </c>
      <c r="I324" s="19">
        <v>23853920.219999999</v>
      </c>
      <c r="K324" s="22"/>
    </row>
  </sheetData>
  <mergeCells count="248">
    <mergeCell ref="C28:C31"/>
    <mergeCell ref="A115:A118"/>
    <mergeCell ref="B115:B118"/>
    <mergeCell ref="C115:C118"/>
    <mergeCell ref="A119:A122"/>
    <mergeCell ref="B119:B122"/>
    <mergeCell ref="C119:C122"/>
    <mergeCell ref="B201:B204"/>
    <mergeCell ref="A123:A126"/>
    <mergeCell ref="B123:B126"/>
    <mergeCell ref="C132:C135"/>
    <mergeCell ref="C136:C139"/>
    <mergeCell ref="A131:I131"/>
    <mergeCell ref="A132:A135"/>
    <mergeCell ref="B132:B135"/>
    <mergeCell ref="A136:A139"/>
    <mergeCell ref="A140:A143"/>
    <mergeCell ref="B140:B143"/>
    <mergeCell ref="B192:B195"/>
    <mergeCell ref="C127:C130"/>
    <mergeCell ref="C144:C147"/>
    <mergeCell ref="C140:C143"/>
    <mergeCell ref="A94:I94"/>
    <mergeCell ref="A160:A163"/>
    <mergeCell ref="A37:A40"/>
    <mergeCell ref="B37:B40"/>
    <mergeCell ref="C37:C40"/>
    <mergeCell ref="C197:C200"/>
    <mergeCell ref="C201:C204"/>
    <mergeCell ref="C209:C212"/>
    <mergeCell ref="C214:C217"/>
    <mergeCell ref="C218:C221"/>
    <mergeCell ref="C266:C269"/>
    <mergeCell ref="A266:A269"/>
    <mergeCell ref="B266:B269"/>
    <mergeCell ref="A242:A245"/>
    <mergeCell ref="B242:B245"/>
    <mergeCell ref="A103:A110"/>
    <mergeCell ref="B107:B110"/>
    <mergeCell ref="C107:C110"/>
    <mergeCell ref="A205:A208"/>
    <mergeCell ref="A232:I232"/>
    <mergeCell ref="A233:A236"/>
    <mergeCell ref="A223:A226"/>
    <mergeCell ref="B233:B236"/>
    <mergeCell ref="A237:I237"/>
    <mergeCell ref="A238:A241"/>
    <mergeCell ref="B238:B241"/>
    <mergeCell ref="A321:A324"/>
    <mergeCell ref="B321:B324"/>
    <mergeCell ref="C316:C319"/>
    <mergeCell ref="C321:C324"/>
    <mergeCell ref="C73:C76"/>
    <mergeCell ref="C77:C80"/>
    <mergeCell ref="C82:C85"/>
    <mergeCell ref="C86:C89"/>
    <mergeCell ref="C90:C93"/>
    <mergeCell ref="B95:B98"/>
    <mergeCell ref="A99:A102"/>
    <mergeCell ref="B99:B102"/>
    <mergeCell ref="C308:C311"/>
    <mergeCell ref="A95:A98"/>
    <mergeCell ref="B274:B277"/>
    <mergeCell ref="C95:C98"/>
    <mergeCell ref="C99:C102"/>
    <mergeCell ref="C103:C106"/>
    <mergeCell ref="C111:C114"/>
    <mergeCell ref="C123:C126"/>
    <mergeCell ref="B136:B139"/>
    <mergeCell ref="A144:A147"/>
    <mergeCell ref="B144:B147"/>
    <mergeCell ref="A274:A277"/>
    <mergeCell ref="C278:C281"/>
    <mergeCell ref="A270:A273"/>
    <mergeCell ref="B270:B273"/>
    <mergeCell ref="C270:C273"/>
    <mergeCell ref="A262:A265"/>
    <mergeCell ref="B262:B265"/>
    <mergeCell ref="C254:C257"/>
    <mergeCell ref="C258:C261"/>
    <mergeCell ref="C262:C265"/>
    <mergeCell ref="A254:A257"/>
    <mergeCell ref="B254:B257"/>
    <mergeCell ref="A258:A261"/>
    <mergeCell ref="B258:B261"/>
    <mergeCell ref="C274:C277"/>
    <mergeCell ref="A278:A281"/>
    <mergeCell ref="B278:B281"/>
    <mergeCell ref="B223:B226"/>
    <mergeCell ref="A250:A253"/>
    <mergeCell ref="B250:B253"/>
    <mergeCell ref="C250:C253"/>
    <mergeCell ref="A152:A155"/>
    <mergeCell ref="B152:B155"/>
    <mergeCell ref="A222:I222"/>
    <mergeCell ref="C238:C241"/>
    <mergeCell ref="C242:C245"/>
    <mergeCell ref="A246:A249"/>
    <mergeCell ref="B205:B208"/>
    <mergeCell ref="C205:C208"/>
    <mergeCell ref="A209:A212"/>
    <mergeCell ref="B209:B212"/>
    <mergeCell ref="A201:A204"/>
    <mergeCell ref="A213:I213"/>
    <mergeCell ref="A214:A217"/>
    <mergeCell ref="B214:B217"/>
    <mergeCell ref="A218:A221"/>
    <mergeCell ref="B218:B221"/>
    <mergeCell ref="B246:B249"/>
    <mergeCell ref="C246:C249"/>
    <mergeCell ref="C233:C236"/>
    <mergeCell ref="A227:I227"/>
    <mergeCell ref="A228:A231"/>
    <mergeCell ref="B228:B231"/>
    <mergeCell ref="C223:C226"/>
    <mergeCell ref="C228:C231"/>
    <mergeCell ref="A111:A114"/>
    <mergeCell ref="B111:B114"/>
    <mergeCell ref="B103:B106"/>
    <mergeCell ref="A127:A130"/>
    <mergeCell ref="A196:I196"/>
    <mergeCell ref="A172:A175"/>
    <mergeCell ref="B172:B175"/>
    <mergeCell ref="C148:C151"/>
    <mergeCell ref="C152:C155"/>
    <mergeCell ref="C156:C159"/>
    <mergeCell ref="C160:C163"/>
    <mergeCell ref="C164:C167"/>
    <mergeCell ref="C168:C171"/>
    <mergeCell ref="C172:C175"/>
    <mergeCell ref="C180:C183"/>
    <mergeCell ref="A148:A151"/>
    <mergeCell ref="B127:B130"/>
    <mergeCell ref="B160:B163"/>
    <mergeCell ref="A164:A167"/>
    <mergeCell ref="B164:B167"/>
    <mergeCell ref="A168:A171"/>
    <mergeCell ref="B168:B171"/>
    <mergeCell ref="A192:A195"/>
    <mergeCell ref="B148:B151"/>
    <mergeCell ref="A197:A200"/>
    <mergeCell ref="B197:B200"/>
    <mergeCell ref="C188:C191"/>
    <mergeCell ref="C176:C179"/>
    <mergeCell ref="A184:A187"/>
    <mergeCell ref="B184:B187"/>
    <mergeCell ref="A176:A179"/>
    <mergeCell ref="B176:B179"/>
    <mergeCell ref="A180:A183"/>
    <mergeCell ref="B180:B183"/>
    <mergeCell ref="C192:C195"/>
    <mergeCell ref="A188:A191"/>
    <mergeCell ref="B188:B191"/>
    <mergeCell ref="C16:C19"/>
    <mergeCell ref="C20:C23"/>
    <mergeCell ref="C24:C27"/>
    <mergeCell ref="A15:I15"/>
    <mergeCell ref="B90:B93"/>
    <mergeCell ref="A82:A85"/>
    <mergeCell ref="B82:B85"/>
    <mergeCell ref="A81:I81"/>
    <mergeCell ref="A73:A76"/>
    <mergeCell ref="A86:A89"/>
    <mergeCell ref="B86:B89"/>
    <mergeCell ref="B69:B72"/>
    <mergeCell ref="C32:C35"/>
    <mergeCell ref="C41:C44"/>
    <mergeCell ref="C45:C48"/>
    <mergeCell ref="A49:A52"/>
    <mergeCell ref="B49:B52"/>
    <mergeCell ref="A57:A60"/>
    <mergeCell ref="B57:B60"/>
    <mergeCell ref="B32:B35"/>
    <mergeCell ref="A32:A35"/>
    <mergeCell ref="A90:A93"/>
    <mergeCell ref="A28:A31"/>
    <mergeCell ref="B28:B31"/>
    <mergeCell ref="B312:B315"/>
    <mergeCell ref="A316:A319"/>
    <mergeCell ref="B316:B319"/>
    <mergeCell ref="A282:A285"/>
    <mergeCell ref="B282:B285"/>
    <mergeCell ref="A286:I286"/>
    <mergeCell ref="A291:A294"/>
    <mergeCell ref="B291:B294"/>
    <mergeCell ref="A303:A306"/>
    <mergeCell ref="B303:B306"/>
    <mergeCell ref="A299:A302"/>
    <mergeCell ref="B299:B302"/>
    <mergeCell ref="A295:A298"/>
    <mergeCell ref="B295:B298"/>
    <mergeCell ref="C312:C315"/>
    <mergeCell ref="C291:C294"/>
    <mergeCell ref="C295:C298"/>
    <mergeCell ref="C299:C302"/>
    <mergeCell ref="C303:C306"/>
    <mergeCell ref="A287:A290"/>
    <mergeCell ref="B287:B290"/>
    <mergeCell ref="C282:C285"/>
    <mergeCell ref="C287:C290"/>
    <mergeCell ref="G2:I2"/>
    <mergeCell ref="B41:B44"/>
    <mergeCell ref="A45:A48"/>
    <mergeCell ref="A307:I307"/>
    <mergeCell ref="A308:A311"/>
    <mergeCell ref="B308:B311"/>
    <mergeCell ref="A3:I3"/>
    <mergeCell ref="E5:I5"/>
    <mergeCell ref="B11:B14"/>
    <mergeCell ref="A11:A14"/>
    <mergeCell ref="B7:B10"/>
    <mergeCell ref="A7:A10"/>
    <mergeCell ref="D5:D6"/>
    <mergeCell ref="A5:A6"/>
    <mergeCell ref="B5:B6"/>
    <mergeCell ref="A16:A19"/>
    <mergeCell ref="B16:B19"/>
    <mergeCell ref="A20:A23"/>
    <mergeCell ref="B20:B23"/>
    <mergeCell ref="B24:B27"/>
    <mergeCell ref="A24:A27"/>
    <mergeCell ref="C5:C6"/>
    <mergeCell ref="C7:C10"/>
    <mergeCell ref="C11:C14"/>
    <mergeCell ref="A320:I320"/>
    <mergeCell ref="B45:B48"/>
    <mergeCell ref="B53:B56"/>
    <mergeCell ref="A53:A56"/>
    <mergeCell ref="A36:I36"/>
    <mergeCell ref="B73:B76"/>
    <mergeCell ref="A77:A80"/>
    <mergeCell ref="B77:B80"/>
    <mergeCell ref="C49:C52"/>
    <mergeCell ref="C53:C56"/>
    <mergeCell ref="C57:C60"/>
    <mergeCell ref="C61:C64"/>
    <mergeCell ref="C65:C68"/>
    <mergeCell ref="C69:C72"/>
    <mergeCell ref="A41:A44"/>
    <mergeCell ref="A61:A64"/>
    <mergeCell ref="C184:C187"/>
    <mergeCell ref="A156:A159"/>
    <mergeCell ref="B156:B159"/>
    <mergeCell ref="B61:B64"/>
    <mergeCell ref="A65:A68"/>
    <mergeCell ref="B65:B68"/>
    <mergeCell ref="A69:A72"/>
    <mergeCell ref="A312:A315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2024-12-09T06:57:41Z</dcterms:modified>
</cp:coreProperties>
</file>